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RV_ Solicita información sobre publicación de contenido en el sitio web del gobierno regional requerido normativamente\"/>
    </mc:Choice>
  </mc:AlternateContent>
  <xr:revisionPtr revIDLastSave="0" documentId="13_ncr:1_{D99F9D65-C119-406B-AE12-CC6E20ED5FFF}" xr6:coauthVersionLast="47" xr6:coauthVersionMax="47" xr10:uidLastSave="{00000000-0000-0000-0000-000000000000}"/>
  <bookViews>
    <workbookView xWindow="-120" yWindow="-120" windowWidth="29040" windowHeight="15720" tabRatio="389" xr2:uid="{00000000-000D-0000-FFFF-FFFF00000000}"/>
  </bookViews>
  <sheets>
    <sheet name="2024 RESUMEN" sheetId="15" r:id="rId1"/>
    <sheet name="2024 FNDR" sheetId="12" r:id="rId2"/>
    <sheet name="FRIL 2024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'2024 FNDR'!$A$4:$AC$466</definedName>
    <definedName name="_xlnm._FilterDatabase" localSheetId="2" hidden="1">'FRIL 2024'!$A$2:$U$54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'2024 FNDR'!$A$1:$AI$125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0" i="15" l="1"/>
  <c r="Q91" i="15"/>
  <c r="Q92" i="15"/>
  <c r="Q93" i="15"/>
  <c r="Q89" i="15"/>
  <c r="Q83" i="15"/>
  <c r="Q84" i="15"/>
  <c r="Q85" i="15"/>
  <c r="Q86" i="15"/>
  <c r="Q87" i="15"/>
  <c r="Q82" i="15"/>
  <c r="Q75" i="15"/>
  <c r="Q76" i="15"/>
  <c r="Q77" i="15"/>
  <c r="Q78" i="15"/>
  <c r="Q79" i="15"/>
  <c r="Q80" i="15"/>
  <c r="Q74" i="15"/>
  <c r="Q95" i="15"/>
  <c r="P74" i="15"/>
  <c r="Q466" i="12"/>
  <c r="Q464" i="12"/>
  <c r="Q465" i="12"/>
  <c r="AA383" i="12"/>
  <c r="J51" i="25"/>
  <c r="K51" i="25"/>
  <c r="L51" i="25"/>
  <c r="M51" i="25"/>
  <c r="N51" i="25"/>
  <c r="O51" i="25"/>
  <c r="P51" i="25"/>
  <c r="Q51" i="25"/>
  <c r="R51" i="25"/>
  <c r="S51" i="25"/>
  <c r="T51" i="25"/>
  <c r="J52" i="25"/>
  <c r="K52" i="25"/>
  <c r="L52" i="25"/>
  <c r="M52" i="25"/>
  <c r="N52" i="25"/>
  <c r="O52" i="25"/>
  <c r="P52" i="25"/>
  <c r="Q52" i="25"/>
  <c r="R52" i="25"/>
  <c r="S52" i="25"/>
  <c r="T52" i="25"/>
  <c r="J53" i="25"/>
  <c r="K53" i="25"/>
  <c r="L53" i="25"/>
  <c r="M53" i="25"/>
  <c r="N53" i="25"/>
  <c r="O53" i="25"/>
  <c r="P53" i="25"/>
  <c r="Q53" i="25"/>
  <c r="R53" i="25"/>
  <c r="S53" i="25"/>
  <c r="T53" i="25"/>
  <c r="J54" i="25"/>
  <c r="K54" i="25"/>
  <c r="L54" i="25"/>
  <c r="M54" i="25"/>
  <c r="N54" i="25"/>
  <c r="O54" i="25"/>
  <c r="P54" i="25"/>
  <c r="Q54" i="25"/>
  <c r="R54" i="25"/>
  <c r="S54" i="25"/>
  <c r="T54" i="25"/>
  <c r="J45" i="25"/>
  <c r="K45" i="25"/>
  <c r="L45" i="25"/>
  <c r="M45" i="25"/>
  <c r="N45" i="25"/>
  <c r="O45" i="25"/>
  <c r="P45" i="25"/>
  <c r="Q45" i="25"/>
  <c r="R45" i="25"/>
  <c r="S45" i="25"/>
  <c r="T45" i="25"/>
  <c r="J46" i="25"/>
  <c r="K46" i="25"/>
  <c r="L46" i="25"/>
  <c r="M46" i="25"/>
  <c r="N46" i="25"/>
  <c r="O46" i="25"/>
  <c r="P46" i="25"/>
  <c r="Q46" i="25"/>
  <c r="R46" i="25"/>
  <c r="S46" i="25"/>
  <c r="T46" i="25"/>
  <c r="J47" i="25"/>
  <c r="K47" i="25"/>
  <c r="L47" i="25"/>
  <c r="M47" i="25"/>
  <c r="N47" i="25"/>
  <c r="O47" i="25"/>
  <c r="P47" i="25"/>
  <c r="Q47" i="25"/>
  <c r="R47" i="25"/>
  <c r="S47" i="25"/>
  <c r="T47" i="25"/>
  <c r="J48" i="25"/>
  <c r="K48" i="25"/>
  <c r="L48" i="25"/>
  <c r="M48" i="25"/>
  <c r="N48" i="25"/>
  <c r="O48" i="25"/>
  <c r="P48" i="25"/>
  <c r="Q48" i="25"/>
  <c r="R48" i="25"/>
  <c r="S48" i="25"/>
  <c r="T48" i="25"/>
  <c r="J49" i="25"/>
  <c r="K49" i="25"/>
  <c r="L49" i="25"/>
  <c r="M49" i="25"/>
  <c r="N49" i="25"/>
  <c r="O49" i="25"/>
  <c r="P49" i="25"/>
  <c r="Q49" i="25"/>
  <c r="R49" i="25"/>
  <c r="S49" i="25"/>
  <c r="T49" i="25"/>
  <c r="J38" i="25"/>
  <c r="K38" i="25"/>
  <c r="L38" i="25"/>
  <c r="M38" i="25"/>
  <c r="N38" i="25"/>
  <c r="O38" i="25"/>
  <c r="P38" i="25"/>
  <c r="Q38" i="25"/>
  <c r="R38" i="25"/>
  <c r="S38" i="25"/>
  <c r="T38" i="25"/>
  <c r="J39" i="25"/>
  <c r="K39" i="25"/>
  <c r="L39" i="25"/>
  <c r="M39" i="25"/>
  <c r="N39" i="25"/>
  <c r="O39" i="25"/>
  <c r="P39" i="25"/>
  <c r="Q39" i="25"/>
  <c r="R39" i="25"/>
  <c r="S39" i="25"/>
  <c r="T39" i="25"/>
  <c r="J40" i="25"/>
  <c r="K40" i="25"/>
  <c r="L40" i="25"/>
  <c r="M40" i="25"/>
  <c r="N40" i="25"/>
  <c r="O40" i="25"/>
  <c r="P40" i="25"/>
  <c r="Q40" i="25"/>
  <c r="R40" i="25"/>
  <c r="S40" i="25"/>
  <c r="T40" i="25"/>
  <c r="J41" i="25"/>
  <c r="K41" i="25"/>
  <c r="L41" i="25"/>
  <c r="M41" i="25"/>
  <c r="N41" i="25"/>
  <c r="O41" i="25"/>
  <c r="P41" i="25"/>
  <c r="Q41" i="25"/>
  <c r="R41" i="25"/>
  <c r="S41" i="25"/>
  <c r="T41" i="25"/>
  <c r="J42" i="25"/>
  <c r="K42" i="25"/>
  <c r="L42" i="25"/>
  <c r="M42" i="25"/>
  <c r="N42" i="25"/>
  <c r="O42" i="25"/>
  <c r="P42" i="25"/>
  <c r="Q42" i="25"/>
  <c r="R42" i="25"/>
  <c r="S42" i="25"/>
  <c r="T42" i="25"/>
  <c r="J43" i="25"/>
  <c r="K43" i="25"/>
  <c r="L43" i="25"/>
  <c r="M43" i="25"/>
  <c r="N43" i="25"/>
  <c r="O43" i="25"/>
  <c r="P43" i="25"/>
  <c r="Q43" i="25"/>
  <c r="R43" i="25"/>
  <c r="S43" i="25"/>
  <c r="T43" i="25"/>
  <c r="I52" i="25"/>
  <c r="I53" i="25"/>
  <c r="I54" i="25"/>
  <c r="I51" i="25"/>
  <c r="I46" i="25"/>
  <c r="I47" i="25"/>
  <c r="I48" i="25"/>
  <c r="I49" i="25"/>
  <c r="I45" i="25"/>
  <c r="I43" i="25"/>
  <c r="I42" i="25"/>
  <c r="I39" i="25"/>
  <c r="I40" i="25"/>
  <c r="I41" i="25"/>
  <c r="I38" i="25"/>
  <c r="H54" i="25"/>
  <c r="H53" i="25"/>
  <c r="H52" i="25"/>
  <c r="H51" i="25"/>
  <c r="H49" i="25"/>
  <c r="H48" i="25"/>
  <c r="H47" i="25"/>
  <c r="H46" i="25"/>
  <c r="H45" i="25"/>
  <c r="H43" i="25"/>
  <c r="H42" i="25"/>
  <c r="H41" i="25"/>
  <c r="H40" i="25"/>
  <c r="H39" i="25"/>
  <c r="H38" i="25"/>
  <c r="T1" i="25"/>
  <c r="J1" i="25"/>
  <c r="K1" i="25"/>
  <c r="L1" i="25"/>
  <c r="M1" i="25"/>
  <c r="N1" i="25"/>
  <c r="O1" i="25"/>
  <c r="P1" i="25"/>
  <c r="Q1" i="25"/>
  <c r="R1" i="25"/>
  <c r="S1" i="25"/>
  <c r="I1" i="25"/>
  <c r="U34" i="25"/>
  <c r="F29" i="15"/>
  <c r="Q172" i="12"/>
  <c r="H44" i="25" l="1"/>
  <c r="Q438" i="12"/>
  <c r="Q439" i="12"/>
  <c r="Q450" i="12"/>
  <c r="Q130" i="12"/>
  <c r="Q129" i="12"/>
  <c r="Q248" i="12"/>
  <c r="Q294" i="12"/>
  <c r="Q295" i="12"/>
  <c r="Q362" i="12"/>
  <c r="Q428" i="12"/>
  <c r="Q462" i="12"/>
  <c r="Q254" i="12"/>
  <c r="Q454" i="12"/>
  <c r="Q455" i="12"/>
  <c r="Q456" i="12"/>
  <c r="Q457" i="12"/>
  <c r="Q458" i="12"/>
  <c r="Q459" i="12"/>
  <c r="Q460" i="12"/>
  <c r="Q461" i="12"/>
  <c r="Q463" i="12"/>
  <c r="Q452" i="12"/>
  <c r="Q453" i="12"/>
  <c r="Q445" i="12"/>
  <c r="Q446" i="12"/>
  <c r="Q447" i="12"/>
  <c r="Q448" i="12"/>
  <c r="Q449" i="12"/>
  <c r="Q451" i="12"/>
  <c r="Q440" i="12"/>
  <c r="Q441" i="12"/>
  <c r="Q442" i="12"/>
  <c r="Q443" i="12"/>
  <c r="Q444" i="12"/>
  <c r="Q436" i="12"/>
  <c r="Q437" i="12"/>
  <c r="Q435" i="12"/>
  <c r="Q433" i="12"/>
  <c r="P95" i="15"/>
  <c r="P93" i="15"/>
  <c r="P92" i="15"/>
  <c r="P91" i="15"/>
  <c r="P90" i="15"/>
  <c r="P89" i="15"/>
  <c r="P87" i="15"/>
  <c r="P86" i="15"/>
  <c r="P85" i="15"/>
  <c r="P84" i="15"/>
  <c r="P83" i="15"/>
  <c r="P82" i="15"/>
  <c r="P80" i="15"/>
  <c r="P79" i="15"/>
  <c r="P78" i="15"/>
  <c r="P77" i="15"/>
  <c r="P76" i="15"/>
  <c r="P75" i="15"/>
  <c r="O74" i="15"/>
  <c r="Z383" i="12"/>
  <c r="U33" i="25"/>
  <c r="F38" i="15"/>
  <c r="F112" i="15"/>
  <c r="F118" i="15"/>
  <c r="F111" i="15"/>
  <c r="O95" i="15"/>
  <c r="O90" i="15"/>
  <c r="O91" i="15"/>
  <c r="O92" i="15"/>
  <c r="O93" i="15"/>
  <c r="O89" i="15"/>
  <c r="O83" i="15"/>
  <c r="O84" i="15"/>
  <c r="O85" i="15"/>
  <c r="O86" i="15"/>
  <c r="O87" i="15"/>
  <c r="O82" i="15"/>
  <c r="O75" i="15"/>
  <c r="O76" i="15"/>
  <c r="O77" i="15"/>
  <c r="O78" i="15"/>
  <c r="O79" i="15"/>
  <c r="O80" i="15"/>
  <c r="O39" i="15"/>
  <c r="O35" i="15"/>
  <c r="O34" i="15"/>
  <c r="O25" i="15"/>
  <c r="O26" i="15"/>
  <c r="O24" i="15"/>
  <c r="O21" i="15"/>
  <c r="O18" i="15"/>
  <c r="O12" i="15"/>
  <c r="O13" i="15"/>
  <c r="O14" i="15"/>
  <c r="O15" i="15"/>
  <c r="O16" i="15"/>
  <c r="O17" i="15"/>
  <c r="O11" i="15"/>
  <c r="O9" i="15"/>
  <c r="O7" i="15"/>
  <c r="O6" i="15"/>
  <c r="R3" i="12"/>
  <c r="P3" i="12"/>
  <c r="Q430" i="12"/>
  <c r="Q431" i="12"/>
  <c r="Q432" i="12"/>
  <c r="N74" i="15" l="1"/>
  <c r="X383" i="12"/>
  <c r="Y383" i="12"/>
  <c r="O36" i="15" s="1"/>
  <c r="U32" i="25"/>
  <c r="Q418" i="12"/>
  <c r="Q419" i="12"/>
  <c r="Q420" i="12"/>
  <c r="Q421" i="12"/>
  <c r="Q422" i="12"/>
  <c r="Q423" i="12"/>
  <c r="Q424" i="12"/>
  <c r="Q425" i="12"/>
  <c r="Q426" i="12"/>
  <c r="Q427" i="12"/>
  <c r="Q429" i="12"/>
  <c r="Q417" i="12"/>
  <c r="Q381" i="12"/>
  <c r="Q380" i="12"/>
  <c r="Q374" i="12"/>
  <c r="Q375" i="12"/>
  <c r="Q376" i="12"/>
  <c r="Q377" i="12"/>
  <c r="Q372" i="12"/>
  <c r="N93" i="15"/>
  <c r="N92" i="15"/>
  <c r="N91" i="15"/>
  <c r="N90" i="15"/>
  <c r="N89" i="15"/>
  <c r="N87" i="15"/>
  <c r="N86" i="15"/>
  <c r="N85" i="15"/>
  <c r="N84" i="15"/>
  <c r="N83" i="15"/>
  <c r="N82" i="15"/>
  <c r="N80" i="15"/>
  <c r="N79" i="15"/>
  <c r="N78" i="15"/>
  <c r="N77" i="15"/>
  <c r="N76" i="15"/>
  <c r="N75" i="15"/>
  <c r="N95" i="15"/>
  <c r="M74" i="15"/>
  <c r="U31" i="25"/>
  <c r="U30" i="25"/>
  <c r="Q196" i="12" l="1"/>
  <c r="M90" i="15"/>
  <c r="M91" i="15"/>
  <c r="M92" i="15"/>
  <c r="M93" i="15"/>
  <c r="M89" i="15"/>
  <c r="M83" i="15"/>
  <c r="M84" i="15"/>
  <c r="M85" i="15"/>
  <c r="M86" i="15"/>
  <c r="M87" i="15"/>
  <c r="M82" i="15"/>
  <c r="M75" i="15"/>
  <c r="M76" i="15"/>
  <c r="M77" i="15"/>
  <c r="M78" i="15"/>
  <c r="M79" i="15"/>
  <c r="M80" i="15"/>
  <c r="M95" i="15"/>
  <c r="U29" i="25"/>
  <c r="L74" i="15"/>
  <c r="Q399" i="12"/>
  <c r="Q400" i="12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397" i="12"/>
  <c r="Q398" i="12"/>
  <c r="Q395" i="12"/>
  <c r="Q396" i="12"/>
  <c r="Q394" i="12"/>
  <c r="Q393" i="12"/>
  <c r="Q392" i="12"/>
  <c r="Q391" i="12"/>
  <c r="Q390" i="12"/>
  <c r="Q389" i="12"/>
  <c r="Q388" i="12"/>
  <c r="Q387" i="12"/>
  <c r="Q386" i="12"/>
  <c r="M35" i="15"/>
  <c r="N35" i="15"/>
  <c r="P35" i="15"/>
  <c r="Q35" i="15"/>
  <c r="R35" i="15"/>
  <c r="S35" i="15"/>
  <c r="N36" i="15"/>
  <c r="P36" i="15"/>
  <c r="Q36" i="15"/>
  <c r="R36" i="15"/>
  <c r="S36" i="15"/>
  <c r="M34" i="15"/>
  <c r="N34" i="15"/>
  <c r="P34" i="15"/>
  <c r="Q34" i="15"/>
  <c r="R34" i="15"/>
  <c r="S34" i="15"/>
  <c r="M25" i="15"/>
  <c r="N25" i="15"/>
  <c r="P25" i="15"/>
  <c r="Q25" i="15"/>
  <c r="R25" i="15"/>
  <c r="S25" i="15"/>
  <c r="M26" i="15"/>
  <c r="N26" i="15"/>
  <c r="P26" i="15"/>
  <c r="Q26" i="15"/>
  <c r="R26" i="15"/>
  <c r="S26" i="15"/>
  <c r="M24" i="15"/>
  <c r="N24" i="15"/>
  <c r="P24" i="15"/>
  <c r="Q24" i="15"/>
  <c r="R24" i="15"/>
  <c r="S24" i="15"/>
  <c r="M12" i="15"/>
  <c r="N12" i="15"/>
  <c r="P12" i="15"/>
  <c r="Q12" i="15"/>
  <c r="R12" i="15"/>
  <c r="S12" i="15"/>
  <c r="M13" i="15"/>
  <c r="N13" i="15"/>
  <c r="P13" i="15"/>
  <c r="Q13" i="15"/>
  <c r="R13" i="15"/>
  <c r="S13" i="15"/>
  <c r="M14" i="15"/>
  <c r="N14" i="15"/>
  <c r="P14" i="15"/>
  <c r="Q14" i="15"/>
  <c r="R14" i="15"/>
  <c r="S14" i="15"/>
  <c r="M15" i="15"/>
  <c r="N15" i="15"/>
  <c r="P15" i="15"/>
  <c r="Q15" i="15"/>
  <c r="R15" i="15"/>
  <c r="S15" i="15"/>
  <c r="M16" i="15"/>
  <c r="N16" i="15"/>
  <c r="P16" i="15"/>
  <c r="Q16" i="15"/>
  <c r="R16" i="15"/>
  <c r="S16" i="15"/>
  <c r="M17" i="15"/>
  <c r="N17" i="15"/>
  <c r="P17" i="15"/>
  <c r="Q17" i="15"/>
  <c r="R17" i="15"/>
  <c r="S17" i="15"/>
  <c r="M18" i="15"/>
  <c r="N18" i="15"/>
  <c r="P18" i="15"/>
  <c r="Q18" i="15"/>
  <c r="R18" i="15"/>
  <c r="S18" i="15"/>
  <c r="M11" i="15"/>
  <c r="N11" i="15"/>
  <c r="P11" i="15"/>
  <c r="Q11" i="15"/>
  <c r="R11" i="15"/>
  <c r="S11" i="15"/>
  <c r="M9" i="15"/>
  <c r="N9" i="15"/>
  <c r="P9" i="15"/>
  <c r="Q9" i="15"/>
  <c r="R9" i="15"/>
  <c r="S9" i="15"/>
  <c r="M7" i="15"/>
  <c r="N7" i="15"/>
  <c r="P7" i="15"/>
  <c r="Q7" i="15"/>
  <c r="R7" i="15"/>
  <c r="S7" i="15"/>
  <c r="N6" i="15"/>
  <c r="M6" i="15"/>
  <c r="P6" i="15"/>
  <c r="Q6" i="15"/>
  <c r="R6" i="15"/>
  <c r="S6" i="15"/>
  <c r="L6" i="15"/>
  <c r="M4" i="15"/>
  <c r="N4" i="15"/>
  <c r="O4" i="15"/>
  <c r="P4" i="15"/>
  <c r="Q4" i="15"/>
  <c r="R4" i="15"/>
  <c r="S4" i="15"/>
  <c r="L4" i="15"/>
  <c r="L7" i="15"/>
  <c r="L35" i="15"/>
  <c r="L34" i="15"/>
  <c r="L25" i="15"/>
  <c r="L26" i="15"/>
  <c r="L24" i="15"/>
  <c r="L21" i="15"/>
  <c r="L12" i="15"/>
  <c r="L13" i="15"/>
  <c r="L14" i="15"/>
  <c r="L15" i="15"/>
  <c r="L16" i="15"/>
  <c r="L17" i="15"/>
  <c r="L18" i="15"/>
  <c r="L11" i="15"/>
  <c r="L9" i="15"/>
  <c r="K95" i="15" l="1"/>
  <c r="L90" i="15"/>
  <c r="L91" i="15"/>
  <c r="L92" i="15"/>
  <c r="L93" i="15"/>
  <c r="L89" i="15"/>
  <c r="L83" i="15"/>
  <c r="L84" i="15"/>
  <c r="L85" i="15"/>
  <c r="L86" i="15"/>
  <c r="L87" i="15"/>
  <c r="L82" i="15"/>
  <c r="L75" i="15"/>
  <c r="L76" i="15"/>
  <c r="L77" i="15"/>
  <c r="L78" i="15"/>
  <c r="L79" i="15"/>
  <c r="L80" i="15"/>
  <c r="U27" i="25"/>
  <c r="U28" i="25"/>
  <c r="U383" i="12"/>
  <c r="V383" i="12"/>
  <c r="L36" i="15" s="1"/>
  <c r="W383" i="12"/>
  <c r="M36" i="15" s="1"/>
  <c r="I74" i="15"/>
  <c r="K90" i="15"/>
  <c r="K91" i="15"/>
  <c r="K92" i="15"/>
  <c r="K93" i="15"/>
  <c r="K89" i="15"/>
  <c r="K83" i="15"/>
  <c r="K84" i="15"/>
  <c r="K85" i="15"/>
  <c r="K86" i="15"/>
  <c r="K87" i="15"/>
  <c r="K82" i="15"/>
  <c r="K76" i="15"/>
  <c r="K75" i="15"/>
  <c r="K74" i="15"/>
  <c r="K77" i="15"/>
  <c r="K78" i="15"/>
  <c r="K79" i="15"/>
  <c r="K80" i="15"/>
  <c r="J74" i="15"/>
  <c r="U19" i="25"/>
  <c r="U20" i="25"/>
  <c r="U21" i="25"/>
  <c r="U22" i="25"/>
  <c r="U23" i="25"/>
  <c r="O381" i="12"/>
  <c r="O351" i="12"/>
  <c r="O350" i="12"/>
  <c r="O349" i="12"/>
  <c r="O348" i="12"/>
  <c r="O347" i="12"/>
  <c r="O346" i="12"/>
  <c r="O345" i="12"/>
  <c r="O344" i="12"/>
  <c r="O343" i="12"/>
  <c r="O342" i="12"/>
  <c r="O341" i="12"/>
  <c r="O340" i="12"/>
  <c r="O339" i="12"/>
  <c r="O338" i="12"/>
  <c r="O337" i="12"/>
  <c r="O3" i="12" l="1"/>
  <c r="K50" i="25"/>
  <c r="K55" i="25"/>
  <c r="L44" i="25"/>
  <c r="K44" i="25"/>
  <c r="Q385" i="12"/>
  <c r="Q384" i="12"/>
  <c r="Q373" i="12"/>
  <c r="Q379" i="12"/>
  <c r="J95" i="15"/>
  <c r="J90" i="15"/>
  <c r="J91" i="15"/>
  <c r="J92" i="15"/>
  <c r="J93" i="15"/>
  <c r="J89" i="15"/>
  <c r="J83" i="15"/>
  <c r="J84" i="15"/>
  <c r="J85" i="15"/>
  <c r="J86" i="15"/>
  <c r="J87" i="15"/>
  <c r="J82" i="15"/>
  <c r="J75" i="15"/>
  <c r="J76" i="15"/>
  <c r="J77" i="15"/>
  <c r="J78" i="15"/>
  <c r="J79" i="15"/>
  <c r="J80" i="15"/>
  <c r="U3" i="12"/>
  <c r="T383" i="12"/>
  <c r="T3" i="12" s="1"/>
  <c r="U26" i="25"/>
  <c r="I75" i="15" l="1"/>
  <c r="J35" i="15"/>
  <c r="J36" i="15"/>
  <c r="J34" i="15"/>
  <c r="J25" i="15"/>
  <c r="J26" i="15"/>
  <c r="J24" i="15"/>
  <c r="J12" i="15"/>
  <c r="J13" i="15"/>
  <c r="J14" i="15"/>
  <c r="J15" i="15"/>
  <c r="J16" i="15"/>
  <c r="J17" i="15"/>
  <c r="J18" i="15"/>
  <c r="J11" i="15"/>
  <c r="U25" i="25"/>
  <c r="E43" i="15" l="1"/>
  <c r="E42" i="15"/>
  <c r="I95" i="15"/>
  <c r="F13" i="15"/>
  <c r="F15" i="15"/>
  <c r="F24" i="15"/>
  <c r="F4" i="15"/>
  <c r="F6" i="15"/>
  <c r="F7" i="15"/>
  <c r="E5" i="15"/>
  <c r="I83" i="15" l="1"/>
  <c r="I90" i="15"/>
  <c r="I91" i="15"/>
  <c r="I93" i="15"/>
  <c r="I89" i="15"/>
  <c r="I87" i="15"/>
  <c r="I84" i="15"/>
  <c r="I85" i="15"/>
  <c r="I86" i="15"/>
  <c r="I82" i="15"/>
  <c r="I76" i="15"/>
  <c r="I77" i="15"/>
  <c r="I78" i="15"/>
  <c r="I79" i="15"/>
  <c r="I80" i="15"/>
  <c r="K36" i="15"/>
  <c r="V3" i="12"/>
  <c r="W3" i="12"/>
  <c r="X3" i="12"/>
  <c r="Y3" i="12"/>
  <c r="Z3" i="12"/>
  <c r="AA3" i="12"/>
  <c r="AB3" i="12"/>
  <c r="AC3" i="12"/>
  <c r="Q5" i="12"/>
  <c r="J17" i="25"/>
  <c r="U24" i="25"/>
  <c r="S383" i="12" l="1"/>
  <c r="S3" i="12" s="1"/>
  <c r="I92" i="15"/>
  <c r="K34" i="15"/>
  <c r="H36" i="15"/>
  <c r="I34" i="15"/>
  <c r="H34" i="15"/>
  <c r="Q382" i="12"/>
  <c r="Q383" i="12" l="1"/>
  <c r="I36" i="15"/>
  <c r="T36" i="15" s="1"/>
  <c r="Q249" i="12" l="1"/>
  <c r="Q290" i="12"/>
  <c r="Q352" i="12"/>
  <c r="Q320" i="12"/>
  <c r="Q318" i="12"/>
  <c r="Q209" i="12"/>
  <c r="Q334" i="12"/>
  <c r="Q359" i="12"/>
  <c r="Q285" i="12" l="1"/>
  <c r="Q288" i="12"/>
  <c r="P2" i="12" l="1"/>
  <c r="Q343" i="12" l="1"/>
  <c r="Q340" i="12" l="1"/>
  <c r="Q342" i="12"/>
  <c r="Q337" i="12"/>
  <c r="Q351" i="12"/>
  <c r="Q347" i="12"/>
  <c r="Q348" i="12"/>
  <c r="Q346" i="12"/>
  <c r="Q349" i="12"/>
  <c r="Q339" i="12"/>
  <c r="Q345" i="12"/>
  <c r="Q338" i="12"/>
  <c r="Q344" i="12"/>
  <c r="Q341" i="12"/>
  <c r="Q350" i="12"/>
  <c r="U18" i="25" l="1"/>
  <c r="U16" i="25"/>
  <c r="U17" i="25"/>
  <c r="U15" i="25" l="1"/>
  <c r="Q199" i="12"/>
  <c r="U14" i="25"/>
  <c r="Q255" i="12"/>
  <c r="Q174" i="12"/>
  <c r="Q179" i="12"/>
  <c r="Q176" i="12"/>
  <c r="Q177" i="12"/>
  <c r="Q178" i="12"/>
  <c r="Q180" i="12"/>
  <c r="Q259" i="12"/>
  <c r="Q175" i="12"/>
  <c r="Q96" i="12"/>
  <c r="Q252" i="12"/>
  <c r="Q324" i="12"/>
  <c r="Q277" i="12"/>
  <c r="Q274" i="12"/>
  <c r="Q283" i="12"/>
  <c r="Q271" i="12"/>
  <c r="Q272" i="12"/>
  <c r="Q278" i="12"/>
  <c r="Q282" i="12"/>
  <c r="Q279" i="12"/>
  <c r="Q281" i="12"/>
  <c r="Q270" i="12"/>
  <c r="Q280" i="12"/>
  <c r="Q275" i="12"/>
  <c r="Q273" i="12"/>
  <c r="Q276" i="12"/>
  <c r="Q284" i="12"/>
  <c r="G39" i="15"/>
  <c r="G38" i="15" s="1"/>
  <c r="Q258" i="12"/>
  <c r="Q253" i="12"/>
  <c r="Q261" i="12"/>
  <c r="Q251" i="12"/>
  <c r="Q250" i="12"/>
  <c r="Q260" i="12"/>
  <c r="Q257" i="12"/>
  <c r="Q256" i="12"/>
  <c r="Q99" i="12"/>
  <c r="Q262" i="12"/>
  <c r="Q265" i="12"/>
  <c r="Q268" i="12"/>
  <c r="Q266" i="12"/>
  <c r="Q267" i="12"/>
  <c r="Q264" i="12"/>
  <c r="Q263" i="12"/>
  <c r="Q269" i="12"/>
  <c r="U13" i="25" l="1"/>
  <c r="U12" i="25"/>
  <c r="U11" i="25"/>
  <c r="U10" i="25"/>
  <c r="U9" i="25" l="1"/>
  <c r="U8" i="25"/>
  <c r="Q365" i="12" l="1"/>
  <c r="Q369" i="12"/>
  <c r="Q367" i="12"/>
  <c r="Q371" i="12"/>
  <c r="Q370" i="12"/>
  <c r="Q366" i="12"/>
  <c r="Q368" i="12"/>
  <c r="Q307" i="12"/>
  <c r="Q302" i="12"/>
  <c r="Q308" i="12"/>
  <c r="Q312" i="12"/>
  <c r="Q315" i="12"/>
  <c r="Q305" i="12"/>
  <c r="Q311" i="12"/>
  <c r="Q313" i="12"/>
  <c r="Q304" i="12"/>
  <c r="Q310" i="12"/>
  <c r="Q303" i="12"/>
  <c r="Q306" i="12"/>
  <c r="Q314" i="12"/>
  <c r="Q309" i="12"/>
  <c r="Q296" i="12"/>
  <c r="Q356" i="12"/>
  <c r="Q353" i="12"/>
  <c r="O38" i="15"/>
  <c r="P39" i="15"/>
  <c r="P38" i="15" s="1"/>
  <c r="Q39" i="15"/>
  <c r="Q38" i="15" s="1"/>
  <c r="R39" i="15"/>
  <c r="R38" i="15" s="1"/>
  <c r="S39" i="15"/>
  <c r="S38" i="15" s="1"/>
  <c r="L39" i="15"/>
  <c r="L38" i="15" s="1"/>
  <c r="K39" i="15"/>
  <c r="K38" i="15" s="1"/>
  <c r="M39" i="15"/>
  <c r="M38" i="15" s="1"/>
  <c r="N39" i="15"/>
  <c r="N38" i="15" s="1"/>
  <c r="J39" i="15"/>
  <c r="J38" i="15" s="1"/>
  <c r="I39" i="15"/>
  <c r="I38" i="15" s="1"/>
  <c r="U7" i="25"/>
  <c r="U6" i="25"/>
  <c r="U5" i="25"/>
  <c r="T39" i="15" l="1"/>
  <c r="U3" i="25"/>
  <c r="I35" i="15" l="1"/>
  <c r="K35" i="15"/>
  <c r="H35" i="15"/>
  <c r="I26" i="15"/>
  <c r="K26" i="15"/>
  <c r="H26" i="15"/>
  <c r="I25" i="15"/>
  <c r="K25" i="15"/>
  <c r="H25" i="15"/>
  <c r="I24" i="15"/>
  <c r="K24" i="15"/>
  <c r="H24" i="15"/>
  <c r="I21" i="15"/>
  <c r="J21" i="15"/>
  <c r="K21" i="15"/>
  <c r="M21" i="15"/>
  <c r="N21" i="15"/>
  <c r="P21" i="15"/>
  <c r="Q21" i="15"/>
  <c r="R21" i="15"/>
  <c r="S21" i="15"/>
  <c r="H21" i="15"/>
  <c r="I18" i="15"/>
  <c r="K18" i="15"/>
  <c r="H18" i="15"/>
  <c r="I17" i="15"/>
  <c r="K17" i="15"/>
  <c r="H17" i="15"/>
  <c r="I16" i="15"/>
  <c r="K16" i="15"/>
  <c r="H16" i="15"/>
  <c r="I15" i="15"/>
  <c r="K15" i="15"/>
  <c r="H15" i="15"/>
  <c r="I14" i="15"/>
  <c r="K14" i="15"/>
  <c r="H14" i="15"/>
  <c r="H13" i="15"/>
  <c r="I12" i="15"/>
  <c r="K12" i="15"/>
  <c r="H12" i="15"/>
  <c r="I11" i="15"/>
  <c r="K11" i="15"/>
  <c r="H11" i="15"/>
  <c r="I9" i="15"/>
  <c r="J9" i="15"/>
  <c r="K9" i="15"/>
  <c r="M8" i="15"/>
  <c r="N8" i="15"/>
  <c r="O8" i="15"/>
  <c r="P8" i="15"/>
  <c r="Q8" i="15"/>
  <c r="R8" i="15"/>
  <c r="H9" i="15"/>
  <c r="I4" i="15"/>
  <c r="J4" i="15"/>
  <c r="K4" i="15"/>
  <c r="H4" i="15"/>
  <c r="I7" i="15"/>
  <c r="J7" i="15"/>
  <c r="K7" i="15"/>
  <c r="I6" i="15"/>
  <c r="J6" i="15"/>
  <c r="K6" i="15"/>
  <c r="H6" i="15"/>
  <c r="H7" i="15"/>
  <c r="K13" i="15"/>
  <c r="I13" i="15"/>
  <c r="T9" i="15" l="1"/>
  <c r="T8" i="15" s="1"/>
  <c r="T34" i="15"/>
  <c r="T13" i="15"/>
  <c r="T18" i="15"/>
  <c r="T4" i="15"/>
  <c r="T11" i="15"/>
  <c r="I5" i="15" l="1"/>
  <c r="Q297" i="12" l="1"/>
  <c r="Q289" i="12"/>
  <c r="Q355" i="12"/>
  <c r="Q354" i="12"/>
  <c r="Q173" i="12"/>
  <c r="Q335" i="12"/>
  <c r="Q357" i="12"/>
  <c r="Q292" i="12"/>
  <c r="Q286" i="12"/>
  <c r="Q287" i="12"/>
  <c r="Q293" i="12"/>
  <c r="Q327" i="12"/>
  <c r="Q364" i="12"/>
  <c r="Q336" i="12"/>
  <c r="Q358" i="12"/>
  <c r="M68" i="15"/>
  <c r="N68" i="15"/>
  <c r="O68" i="15"/>
  <c r="P68" i="15"/>
  <c r="Q68" i="15"/>
  <c r="R68" i="15"/>
  <c r="S68" i="15"/>
  <c r="M65" i="15"/>
  <c r="N65" i="15"/>
  <c r="O65" i="15"/>
  <c r="P65" i="15"/>
  <c r="Q65" i="15"/>
  <c r="R65" i="15"/>
  <c r="J68" i="15"/>
  <c r="K68" i="15"/>
  <c r="L68" i="15"/>
  <c r="I68" i="15"/>
  <c r="I8" i="15"/>
  <c r="I65" i="15" s="1"/>
  <c r="J8" i="15"/>
  <c r="J65" i="15" s="1"/>
  <c r="K8" i="15"/>
  <c r="K65" i="15" s="1"/>
  <c r="L8" i="15"/>
  <c r="L65" i="15" s="1"/>
  <c r="H8" i="15"/>
  <c r="H65" i="15" s="1"/>
  <c r="Q378" i="12" l="1"/>
  <c r="Q331" i="12"/>
  <c r="Q167" i="12"/>
  <c r="Q171" i="12"/>
  <c r="Q84" i="12"/>
  <c r="U37" i="25"/>
  <c r="J37" i="25"/>
  <c r="K37" i="25"/>
  <c r="L37" i="25"/>
  <c r="M37" i="25"/>
  <c r="N37" i="25"/>
  <c r="O37" i="25"/>
  <c r="P37" i="25"/>
  <c r="Q37" i="25"/>
  <c r="R37" i="25"/>
  <c r="S37" i="25"/>
  <c r="T37" i="25"/>
  <c r="I37" i="25"/>
  <c r="U38" i="25"/>
  <c r="U51" i="25" l="1"/>
  <c r="U46" i="25"/>
  <c r="U41" i="25"/>
  <c r="U49" i="25"/>
  <c r="U40" i="25"/>
  <c r="U39" i="25"/>
  <c r="U54" i="25"/>
  <c r="U45" i="25"/>
  <c r="U53" i="25"/>
  <c r="U43" i="25"/>
  <c r="U52" i="25"/>
  <c r="U47" i="25"/>
  <c r="U42" i="25"/>
  <c r="O55" i="25"/>
  <c r="Q55" i="25"/>
  <c r="S50" i="25"/>
  <c r="O50" i="25"/>
  <c r="S44" i="25"/>
  <c r="O44" i="25"/>
  <c r="P55" i="25"/>
  <c r="I50" i="25"/>
  <c r="P44" i="25"/>
  <c r="R44" i="25"/>
  <c r="N44" i="25"/>
  <c r="L55" i="25"/>
  <c r="I55" i="25"/>
  <c r="J55" i="25"/>
  <c r="J50" i="25"/>
  <c r="T55" i="25"/>
  <c r="R55" i="25"/>
  <c r="N55" i="25"/>
  <c r="T44" i="25"/>
  <c r="T50" i="25"/>
  <c r="P50" i="25"/>
  <c r="L50" i="25"/>
  <c r="J44" i="25"/>
  <c r="J57" i="25" s="1"/>
  <c r="U48" i="25"/>
  <c r="M55" i="25"/>
  <c r="Q44" i="25"/>
  <c r="M44" i="25"/>
  <c r="I44" i="25"/>
  <c r="S55" i="25"/>
  <c r="Q50" i="25"/>
  <c r="M50" i="25"/>
  <c r="R50" i="25"/>
  <c r="N50" i="25"/>
  <c r="M57" i="25" l="1"/>
  <c r="L57" i="25"/>
  <c r="U50" i="25"/>
  <c r="U44" i="25"/>
  <c r="U55" i="25"/>
  <c r="O57" i="25"/>
  <c r="P57" i="25"/>
  <c r="K57" i="25"/>
  <c r="S57" i="25"/>
  <c r="I57" i="25"/>
  <c r="N57" i="25"/>
  <c r="T57" i="25"/>
  <c r="R57" i="25"/>
  <c r="Q57" i="25"/>
  <c r="U57" i="25" l="1"/>
  <c r="Q192" i="12" l="1"/>
  <c r="U4" i="25"/>
  <c r="U1" i="25" s="1"/>
  <c r="H55" i="25" l="1"/>
  <c r="H101" i="15"/>
  <c r="Q328" i="12"/>
  <c r="Q322" i="12"/>
  <c r="Q321" i="12"/>
  <c r="Q363" i="12"/>
  <c r="Q190" i="12"/>
  <c r="Q244" i="12"/>
  <c r="Q222" i="12"/>
  <c r="Q137" i="12"/>
  <c r="Q135" i="12"/>
  <c r="Q90" i="12"/>
  <c r="Q291" i="12"/>
  <c r="Q238" i="12" l="1"/>
  <c r="G5" i="15"/>
  <c r="R75" i="15"/>
  <c r="T48" i="15"/>
  <c r="Q17" i="12"/>
  <c r="Q317" i="12"/>
  <c r="Q31" i="12"/>
  <c r="Q68" i="12"/>
  <c r="Q18" i="12"/>
  <c r="Q36" i="12"/>
  <c r="Q131" i="12"/>
  <c r="Q101" i="12"/>
  <c r="Q102" i="12"/>
  <c r="Q104" i="12"/>
  <c r="Q201" i="12"/>
  <c r="Q10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298" i="12"/>
  <c r="Q299" i="12"/>
  <c r="F126" i="15" s="1"/>
  <c r="Q191" i="12"/>
  <c r="Q189" i="12"/>
  <c r="Q193" i="12"/>
  <c r="Q89" i="12"/>
  <c r="Q210" i="12"/>
  <c r="Q211" i="12"/>
  <c r="Q212" i="12"/>
  <c r="Q213" i="12"/>
  <c r="Q214" i="12"/>
  <c r="Q215" i="12"/>
  <c r="Q216" i="12"/>
  <c r="Q217" i="12"/>
  <c r="Q218" i="12"/>
  <c r="Q219" i="12"/>
  <c r="Q220" i="12"/>
  <c r="Q221" i="12"/>
  <c r="Q223" i="12"/>
  <c r="Q224" i="12"/>
  <c r="Q225" i="12"/>
  <c r="Q226" i="12"/>
  <c r="Q227" i="12"/>
  <c r="Q228" i="12"/>
  <c r="Q229" i="12"/>
  <c r="Q230" i="12"/>
  <c r="Q231" i="12"/>
  <c r="Q232" i="12"/>
  <c r="Q233" i="12"/>
  <c r="Q234" i="12"/>
  <c r="Q235" i="12"/>
  <c r="Q241" i="12"/>
  <c r="Q242" i="12"/>
  <c r="Q243" i="12"/>
  <c r="Q239" i="12"/>
  <c r="Q246" i="12"/>
  <c r="Q245" i="12"/>
  <c r="Q237" i="12"/>
  <c r="Q236" i="12"/>
  <c r="Q194" i="12"/>
  <c r="Q240" i="12"/>
  <c r="Q247" i="12"/>
  <c r="Q195" i="12"/>
  <c r="Q26" i="12"/>
  <c r="Q35" i="12"/>
  <c r="Q8" i="12"/>
  <c r="F119" i="15" s="1"/>
  <c r="Q78" i="12"/>
  <c r="Q65" i="12"/>
  <c r="Q13" i="12"/>
  <c r="Q86" i="12"/>
  <c r="Q24" i="12"/>
  <c r="Q71" i="12"/>
  <c r="Q55" i="12"/>
  <c r="Q80" i="12"/>
  <c r="Q14" i="12"/>
  <c r="Q82" i="12"/>
  <c r="Q77" i="12"/>
  <c r="Q51" i="12"/>
  <c r="Q48" i="12"/>
  <c r="Q27" i="12"/>
  <c r="Q12" i="12"/>
  <c r="Q69" i="12"/>
  <c r="Q40" i="12"/>
  <c r="Q58" i="12"/>
  <c r="Q73" i="12"/>
  <c r="Q74" i="12"/>
  <c r="Q75" i="12"/>
  <c r="Q59" i="12"/>
  <c r="Q93" i="12"/>
  <c r="Q113" i="12"/>
  <c r="Q142" i="12"/>
  <c r="Q151" i="12"/>
  <c r="Q97" i="12"/>
  <c r="Q100" i="12"/>
  <c r="Q144" i="12"/>
  <c r="Q148" i="12"/>
  <c r="Q94" i="12"/>
  <c r="Q132" i="12"/>
  <c r="Q361" i="12"/>
  <c r="Q140" i="12"/>
  <c r="Q133" i="12"/>
  <c r="Q141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8" i="12"/>
  <c r="Q169" i="12"/>
  <c r="Q170" i="12"/>
  <c r="Q91" i="12"/>
  <c r="Q323" i="12"/>
  <c r="Q138" i="12"/>
  <c r="Q136" i="12"/>
  <c r="Q147" i="12"/>
  <c r="Q183" i="12"/>
  <c r="Q145" i="12"/>
  <c r="Q139" i="12"/>
  <c r="Q146" i="12"/>
  <c r="Q325" i="12"/>
  <c r="Q33" i="12"/>
  <c r="Q326" i="12"/>
  <c r="Q134" i="12"/>
  <c r="Q188" i="12"/>
  <c r="Q187" i="12"/>
  <c r="Q184" i="12"/>
  <c r="Q182" i="12"/>
  <c r="Q186" i="12"/>
  <c r="Q198" i="12"/>
  <c r="Q206" i="12"/>
  <c r="Q205" i="12"/>
  <c r="Q203" i="12"/>
  <c r="Q204" i="12"/>
  <c r="Q202" i="12"/>
  <c r="Q23" i="12"/>
  <c r="Q181" i="12"/>
  <c r="Q28" i="12"/>
  <c r="Q67" i="12"/>
  <c r="Q62" i="12"/>
  <c r="Q37" i="12"/>
  <c r="Q20" i="12"/>
  <c r="Q185" i="12"/>
  <c r="Q360" i="12"/>
  <c r="Q54" i="12"/>
  <c r="Q66" i="12"/>
  <c r="Q52" i="12"/>
  <c r="Q76" i="12"/>
  <c r="Q6" i="12"/>
  <c r="Q43" i="12"/>
  <c r="Q56" i="12"/>
  <c r="Q316" i="12"/>
  <c r="Q10" i="12"/>
  <c r="Q333" i="12"/>
  <c r="Q19" i="12"/>
  <c r="Q64" i="12"/>
  <c r="Q88" i="12"/>
  <c r="Q50" i="12"/>
  <c r="Q87" i="12"/>
  <c r="Q34" i="12"/>
  <c r="Q32" i="12"/>
  <c r="Q63" i="12"/>
  <c r="Q22" i="12"/>
  <c r="Q53" i="12"/>
  <c r="Q319" i="12"/>
  <c r="Q39" i="12"/>
  <c r="Q45" i="12"/>
  <c r="Q95" i="12"/>
  <c r="Q107" i="12"/>
  <c r="Q108" i="12"/>
  <c r="Q109" i="12"/>
  <c r="Q110" i="12"/>
  <c r="Q111" i="12"/>
  <c r="Q112" i="12"/>
  <c r="Q149" i="12"/>
  <c r="Q207" i="12"/>
  <c r="Q208" i="12"/>
  <c r="Q200" i="12"/>
  <c r="F127" i="15" s="1"/>
  <c r="Q98" i="12"/>
  <c r="Q106" i="12"/>
  <c r="Q105" i="12"/>
  <c r="Q25" i="12"/>
  <c r="Q72" i="12"/>
  <c r="Q9" i="12"/>
  <c r="Q30" i="12"/>
  <c r="Q197" i="12"/>
  <c r="Q46" i="12"/>
  <c r="Q7" i="12"/>
  <c r="Q92" i="12"/>
  <c r="Q42" i="12"/>
  <c r="Q60" i="12"/>
  <c r="Q29" i="12"/>
  <c r="F113" i="15" s="1"/>
  <c r="Q47" i="12"/>
  <c r="Q330" i="12"/>
  <c r="Q329" i="12"/>
  <c r="Q49" i="12"/>
  <c r="Q150" i="12"/>
  <c r="Q152" i="12"/>
  <c r="Q143" i="12"/>
  <c r="Q15" i="12"/>
  <c r="Q44" i="12"/>
  <c r="Q16" i="12"/>
  <c r="Q38" i="12"/>
  <c r="Q85" i="12"/>
  <c r="Q11" i="12"/>
  <c r="Q79" i="12"/>
  <c r="Q81" i="12"/>
  <c r="Q83" i="12"/>
  <c r="Q332" i="12"/>
  <c r="Q57" i="12"/>
  <c r="Q61" i="12"/>
  <c r="Q41" i="12"/>
  <c r="Q300" i="12"/>
  <c r="Q21" i="12"/>
  <c r="Q301" i="12"/>
  <c r="F114" i="15" l="1"/>
  <c r="F115" i="15"/>
  <c r="F116" i="15"/>
  <c r="F121" i="15"/>
  <c r="F122" i="15"/>
  <c r="F125" i="15"/>
  <c r="F117" i="15"/>
  <c r="F124" i="15"/>
  <c r="F120" i="15"/>
  <c r="U48" i="15"/>
  <c r="Q70" i="12" l="1"/>
  <c r="F5" i="15"/>
  <c r="C2" i="26"/>
  <c r="H38" i="15"/>
  <c r="H68" i="15" s="1"/>
  <c r="G23" i="15"/>
  <c r="G20" i="15"/>
  <c r="E38" i="15"/>
  <c r="E20" i="15"/>
  <c r="F20" i="15"/>
  <c r="F16" i="15"/>
  <c r="F17" i="15"/>
  <c r="F10" i="15" s="1"/>
  <c r="F18" i="15"/>
  <c r="F8" i="15"/>
  <c r="G8" i="15"/>
  <c r="S8" i="15"/>
  <c r="S65" i="15" s="1"/>
  <c r="G33" i="15"/>
  <c r="F33" i="15"/>
  <c r="I28" i="15"/>
  <c r="F12" i="15"/>
  <c r="F11" i="15"/>
  <c r="M105" i="15"/>
  <c r="L95" i="15"/>
  <c r="L105" i="15" s="1"/>
  <c r="P67" i="15"/>
  <c r="P28" i="15"/>
  <c r="O67" i="15"/>
  <c r="R67" i="15"/>
  <c r="Q67" i="15"/>
  <c r="N67" i="15"/>
  <c r="M67" i="15"/>
  <c r="T30" i="15"/>
  <c r="R95" i="15"/>
  <c r="R105" i="15" s="1"/>
  <c r="P105" i="15"/>
  <c r="O105" i="15"/>
  <c r="N105" i="15"/>
  <c r="K105" i="15"/>
  <c r="R90" i="15"/>
  <c r="S90" i="15"/>
  <c r="R91" i="15"/>
  <c r="S91" i="15"/>
  <c r="R92" i="15"/>
  <c r="S92" i="15"/>
  <c r="R93" i="15"/>
  <c r="S93" i="15"/>
  <c r="S89" i="15"/>
  <c r="R89" i="15"/>
  <c r="R83" i="15"/>
  <c r="S83" i="15"/>
  <c r="R84" i="15"/>
  <c r="S84" i="15"/>
  <c r="R85" i="15"/>
  <c r="S85" i="15"/>
  <c r="R86" i="15"/>
  <c r="S86" i="15"/>
  <c r="R87" i="15"/>
  <c r="S87" i="15"/>
  <c r="S82" i="15"/>
  <c r="R82" i="15"/>
  <c r="S75" i="15"/>
  <c r="R76" i="15"/>
  <c r="S76" i="15"/>
  <c r="R77" i="15"/>
  <c r="S77" i="15"/>
  <c r="R78" i="15"/>
  <c r="S78" i="15"/>
  <c r="R79" i="15"/>
  <c r="R80" i="15"/>
  <c r="S80" i="15"/>
  <c r="S74" i="15"/>
  <c r="R74" i="15"/>
  <c r="K28" i="15"/>
  <c r="S79" i="15"/>
  <c r="S95" i="15"/>
  <c r="S105" i="15" s="1"/>
  <c r="K72" i="15"/>
  <c r="K100" i="15" s="1"/>
  <c r="L72" i="15"/>
  <c r="L100" i="15" s="1"/>
  <c r="M72" i="15"/>
  <c r="N72" i="15"/>
  <c r="N100" i="15" s="1"/>
  <c r="O72" i="15"/>
  <c r="O100" i="15" s="1"/>
  <c r="P72" i="15"/>
  <c r="P100" i="15" s="1"/>
  <c r="Q72" i="15"/>
  <c r="R72" i="15"/>
  <c r="R100" i="15" s="1"/>
  <c r="S72" i="15"/>
  <c r="S100" i="15" s="1"/>
  <c r="K60" i="15"/>
  <c r="L60" i="15"/>
  <c r="M60" i="15"/>
  <c r="N60" i="15"/>
  <c r="O60" i="15"/>
  <c r="P60" i="15"/>
  <c r="Q60" i="15"/>
  <c r="R60" i="15"/>
  <c r="S60" i="15"/>
  <c r="K55" i="15"/>
  <c r="L55" i="15"/>
  <c r="M55" i="15"/>
  <c r="N55" i="15"/>
  <c r="O55" i="15"/>
  <c r="P55" i="15"/>
  <c r="Q55" i="15"/>
  <c r="R55" i="15"/>
  <c r="S55" i="15"/>
  <c r="J60" i="15"/>
  <c r="I72" i="15"/>
  <c r="I100" i="15" s="1"/>
  <c r="J72" i="15"/>
  <c r="J100" i="15" s="1"/>
  <c r="J105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T100" i="15"/>
  <c r="M100" i="15"/>
  <c r="Q100" i="15"/>
  <c r="H72" i="15"/>
  <c r="H100" i="15" s="1"/>
  <c r="I60" i="15"/>
  <c r="H60" i="15"/>
  <c r="I55" i="15"/>
  <c r="J55" i="15"/>
  <c r="H55" i="15"/>
  <c r="H95" i="15"/>
  <c r="I105" i="15"/>
  <c r="H90" i="15"/>
  <c r="H91" i="15"/>
  <c r="H92" i="15"/>
  <c r="H93" i="15"/>
  <c r="H89" i="15"/>
  <c r="H83" i="15"/>
  <c r="H84" i="15"/>
  <c r="H85" i="15"/>
  <c r="H86" i="15"/>
  <c r="H87" i="15"/>
  <c r="H82" i="15"/>
  <c r="H75" i="15"/>
  <c r="H76" i="15"/>
  <c r="H77" i="15"/>
  <c r="H78" i="15"/>
  <c r="H79" i="15"/>
  <c r="H80" i="15"/>
  <c r="H74" i="15"/>
  <c r="T74" i="15" s="1"/>
  <c r="J28" i="15"/>
  <c r="L28" i="15"/>
  <c r="M28" i="15"/>
  <c r="N28" i="15"/>
  <c r="O28" i="15"/>
  <c r="Q28" i="15"/>
  <c r="R28" i="15"/>
  <c r="S28" i="15"/>
  <c r="T41" i="15"/>
  <c r="U41" i="15" s="1"/>
  <c r="T29" i="15"/>
  <c r="H28" i="15"/>
  <c r="G41" i="15"/>
  <c r="E33" i="15"/>
  <c r="U31" i="15"/>
  <c r="F30" i="15"/>
  <c r="G28" i="15"/>
  <c r="E28" i="15"/>
  <c r="F23" i="15"/>
  <c r="E23" i="15"/>
  <c r="G10" i="15"/>
  <c r="E10" i="15"/>
  <c r="F28" i="15"/>
  <c r="F123" i="15" l="1"/>
  <c r="Q3" i="12"/>
  <c r="W74" i="15"/>
  <c r="F42" i="15"/>
  <c r="T28" i="15"/>
  <c r="U30" i="15"/>
  <c r="U29" i="15"/>
  <c r="F43" i="15"/>
  <c r="T38" i="15"/>
  <c r="U38" i="15" s="1"/>
  <c r="H105" i="15"/>
  <c r="K67" i="15"/>
  <c r="L67" i="15"/>
  <c r="J67" i="15"/>
  <c r="H67" i="15"/>
  <c r="I67" i="15"/>
  <c r="E56" i="15"/>
  <c r="R81" i="15"/>
  <c r="R102" i="15" s="1"/>
  <c r="G43" i="15"/>
  <c r="G42" i="15"/>
  <c r="S67" i="15"/>
  <c r="S33" i="15"/>
  <c r="S64" i="15" s="1"/>
  <c r="T15" i="15"/>
  <c r="U15" i="15" s="1"/>
  <c r="T7" i="15"/>
  <c r="U7" i="15" s="1"/>
  <c r="T24" i="15"/>
  <c r="U34" i="15"/>
  <c r="U13" i="15"/>
  <c r="T35" i="15"/>
  <c r="U35" i="15" s="1"/>
  <c r="T6" i="15"/>
  <c r="T25" i="15"/>
  <c r="U25" i="15" s="1"/>
  <c r="I23" i="15"/>
  <c r="P5" i="15"/>
  <c r="L5" i="15"/>
  <c r="L66" i="15" s="1"/>
  <c r="M5" i="15"/>
  <c r="O5" i="15"/>
  <c r="H23" i="15"/>
  <c r="J33" i="15"/>
  <c r="J64" i="15" s="1"/>
  <c r="J5" i="15"/>
  <c r="J66" i="15" s="1"/>
  <c r="K5" i="15"/>
  <c r="K66" i="15" s="1"/>
  <c r="P23" i="15"/>
  <c r="L23" i="15"/>
  <c r="I33" i="15"/>
  <c r="I64" i="15" s="1"/>
  <c r="O33" i="15"/>
  <c r="O64" i="15" s="1"/>
  <c r="M23" i="15"/>
  <c r="Q23" i="15"/>
  <c r="K23" i="15"/>
  <c r="K88" i="15"/>
  <c r="K103" i="15" s="1"/>
  <c r="S94" i="15"/>
  <c r="S104" i="15" s="1"/>
  <c r="L88" i="15"/>
  <c r="L103" i="15" s="1"/>
  <c r="Q94" i="15"/>
  <c r="Q104" i="15" s="1"/>
  <c r="K94" i="15"/>
  <c r="K104" i="15" s="1"/>
  <c r="Q5" i="15"/>
  <c r="H50" i="25"/>
  <c r="H57" i="25" s="1"/>
  <c r="O88" i="15"/>
  <c r="O103" i="15" s="1"/>
  <c r="M94" i="15"/>
  <c r="M104" i="15" s="1"/>
  <c r="S23" i="15"/>
  <c r="R5" i="15"/>
  <c r="I66" i="15"/>
  <c r="R23" i="15"/>
  <c r="R88" i="15"/>
  <c r="R103" i="15" s="1"/>
  <c r="N33" i="15"/>
  <c r="N64" i="15" s="1"/>
  <c r="S10" i="15"/>
  <c r="S63" i="15" s="1"/>
  <c r="O23" i="15"/>
  <c r="J88" i="15"/>
  <c r="J103" i="15" s="1"/>
  <c r="P33" i="15"/>
  <c r="P64" i="15" s="1"/>
  <c r="N5" i="15"/>
  <c r="L33" i="15"/>
  <c r="L64" i="15" s="1"/>
  <c r="T26" i="15"/>
  <c r="U26" i="15" s="1"/>
  <c r="R33" i="15"/>
  <c r="R64" i="15" s="1"/>
  <c r="T84" i="15"/>
  <c r="W84" i="15" s="1"/>
  <c r="M33" i="15"/>
  <c r="M64" i="15" s="1"/>
  <c r="R10" i="15"/>
  <c r="R63" i="15" s="1"/>
  <c r="T12" i="15"/>
  <c r="J10" i="15"/>
  <c r="J63" i="15" s="1"/>
  <c r="T14" i="15"/>
  <c r="U14" i="15" s="1"/>
  <c r="I10" i="15"/>
  <c r="I63" i="15" s="1"/>
  <c r="Q10" i="15"/>
  <c r="Q63" i="15" s="1"/>
  <c r="O10" i="15"/>
  <c r="O63" i="15" s="1"/>
  <c r="O81" i="15"/>
  <c r="K81" i="15"/>
  <c r="K102" i="15" s="1"/>
  <c r="K10" i="15"/>
  <c r="K63" i="15" s="1"/>
  <c r="M81" i="15"/>
  <c r="N81" i="15"/>
  <c r="N102" i="15" s="1"/>
  <c r="P88" i="15"/>
  <c r="P103" i="15" s="1"/>
  <c r="M88" i="15"/>
  <c r="M103" i="15" s="1"/>
  <c r="T83" i="15"/>
  <c r="W83" i="15" s="1"/>
  <c r="N94" i="15"/>
  <c r="N104" i="15" s="1"/>
  <c r="L94" i="15"/>
  <c r="L104" i="15" s="1"/>
  <c r="R94" i="15"/>
  <c r="R104" i="15" s="1"/>
  <c r="O94" i="15"/>
  <c r="O104" i="15" s="1"/>
  <c r="P94" i="15"/>
  <c r="P104" i="15" s="1"/>
  <c r="S5" i="15"/>
  <c r="T78" i="15"/>
  <c r="W78" i="15" s="1"/>
  <c r="T86" i="15"/>
  <c r="W86" i="15" s="1"/>
  <c r="T87" i="15"/>
  <c r="W87" i="15" s="1"/>
  <c r="T77" i="15"/>
  <c r="W77" i="15" s="1"/>
  <c r="T85" i="15"/>
  <c r="W85" i="15" s="1"/>
  <c r="L10" i="15"/>
  <c r="L63" i="15" s="1"/>
  <c r="S88" i="15"/>
  <c r="S103" i="15" s="1"/>
  <c r="T93" i="15"/>
  <c r="W93" i="15" s="1"/>
  <c r="I94" i="15"/>
  <c r="I104" i="15" s="1"/>
  <c r="Q81" i="15"/>
  <c r="Q102" i="15" s="1"/>
  <c r="T79" i="15"/>
  <c r="W79" i="15" s="1"/>
  <c r="Q88" i="15"/>
  <c r="Q103" i="15" s="1"/>
  <c r="N88" i="15"/>
  <c r="T92" i="15"/>
  <c r="W92" i="15" s="1"/>
  <c r="T91" i="15"/>
  <c r="W91" i="15" s="1"/>
  <c r="P10" i="15"/>
  <c r="P63" i="15" s="1"/>
  <c r="P81" i="15"/>
  <c r="H81" i="15"/>
  <c r="H102" i="15" s="1"/>
  <c r="T90" i="15"/>
  <c r="W90" i="15" s="1"/>
  <c r="U11" i="15"/>
  <c r="T75" i="15"/>
  <c r="W75" i="15" s="1"/>
  <c r="S81" i="15"/>
  <c r="T80" i="15"/>
  <c r="W80" i="15" s="1"/>
  <c r="H88" i="15"/>
  <c r="H103" i="15" s="1"/>
  <c r="T89" i="15"/>
  <c r="W89" i="15" s="1"/>
  <c r="K33" i="15"/>
  <c r="K64" i="15" s="1"/>
  <c r="J94" i="15"/>
  <c r="J104" i="15" s="1"/>
  <c r="H10" i="15"/>
  <c r="H63" i="15" s="1"/>
  <c r="U18" i="15"/>
  <c r="M10" i="15"/>
  <c r="N10" i="15"/>
  <c r="N63" i="15" s="1"/>
  <c r="J23" i="15"/>
  <c r="N23" i="15"/>
  <c r="H33" i="15"/>
  <c r="H64" i="15" s="1"/>
  <c r="T17" i="15"/>
  <c r="U17" i="15" s="1"/>
  <c r="I88" i="15"/>
  <c r="I103" i="15" s="1"/>
  <c r="T21" i="15"/>
  <c r="U21" i="15" s="1"/>
  <c r="U20" i="15" s="1"/>
  <c r="Q33" i="15"/>
  <c r="Q64" i="15" s="1"/>
  <c r="T16" i="15"/>
  <c r="U16" i="15" s="1"/>
  <c r="H5" i="15"/>
  <c r="H94" i="15"/>
  <c r="H104" i="15" s="1"/>
  <c r="Q105" i="15"/>
  <c r="T82" i="15"/>
  <c r="W82" i="15" s="1"/>
  <c r="I81" i="15"/>
  <c r="T76" i="15"/>
  <c r="W76" i="15" s="1"/>
  <c r="M42" i="15" l="1"/>
  <c r="M44" i="15" s="1"/>
  <c r="I96" i="15"/>
  <c r="S43" i="15"/>
  <c r="S56" i="15" s="1"/>
  <c r="P62" i="15"/>
  <c r="P42" i="15"/>
  <c r="P44" i="15" s="1"/>
  <c r="O96" i="15"/>
  <c r="O42" i="15"/>
  <c r="O44" i="15" s="1"/>
  <c r="R66" i="15"/>
  <c r="R43" i="15"/>
  <c r="R56" i="15" s="1"/>
  <c r="O66" i="15"/>
  <c r="O43" i="15"/>
  <c r="O56" i="15" s="1"/>
  <c r="P66" i="15"/>
  <c r="P43" i="15"/>
  <c r="P56" i="15" s="1"/>
  <c r="Q62" i="15"/>
  <c r="Q42" i="15"/>
  <c r="Q44" i="15" s="1"/>
  <c r="N42" i="15"/>
  <c r="N44" i="15" s="1"/>
  <c r="R62" i="15"/>
  <c r="R42" i="15"/>
  <c r="R44" i="15" s="1"/>
  <c r="S62" i="15"/>
  <c r="S42" i="15"/>
  <c r="S44" i="15" s="1"/>
  <c r="Q66" i="15"/>
  <c r="Q43" i="15"/>
  <c r="Q56" i="15" s="1"/>
  <c r="O62" i="15"/>
  <c r="M102" i="15"/>
  <c r="M106" i="15" s="1"/>
  <c r="M96" i="15"/>
  <c r="W88" i="15"/>
  <c r="W94" i="15"/>
  <c r="W81" i="15"/>
  <c r="S66" i="15"/>
  <c r="U28" i="15"/>
  <c r="U9" i="15"/>
  <c r="U8" i="15" s="1"/>
  <c r="T68" i="15"/>
  <c r="N62" i="15"/>
  <c r="N66" i="15"/>
  <c r="N43" i="15"/>
  <c r="L42" i="15"/>
  <c r="L44" i="15" s="1"/>
  <c r="M43" i="15"/>
  <c r="M56" i="15" s="1"/>
  <c r="M62" i="15"/>
  <c r="M66" i="15"/>
  <c r="U12" i="15"/>
  <c r="U10" i="15" s="1"/>
  <c r="T10" i="15"/>
  <c r="T5" i="15"/>
  <c r="T95" i="15"/>
  <c r="W95" i="15" s="1"/>
  <c r="H43" i="15"/>
  <c r="I43" i="15"/>
  <c r="I56" i="15" s="1"/>
  <c r="I57" i="15" s="1"/>
  <c r="J43" i="15"/>
  <c r="J56" i="15" s="1"/>
  <c r="K62" i="15"/>
  <c r="K42" i="15"/>
  <c r="K44" i="15" s="1"/>
  <c r="L62" i="15"/>
  <c r="I42" i="15"/>
  <c r="I44" i="15" s="1"/>
  <c r="L43" i="15"/>
  <c r="L56" i="15" s="1"/>
  <c r="K43" i="15"/>
  <c r="J42" i="15"/>
  <c r="J44" i="15" s="1"/>
  <c r="H42" i="15"/>
  <c r="H44" i="15" s="1"/>
  <c r="F103" i="15"/>
  <c r="H62" i="15"/>
  <c r="F104" i="15"/>
  <c r="I62" i="15"/>
  <c r="T94" i="15"/>
  <c r="T104" i="15" s="1"/>
  <c r="S113" i="15" s="1"/>
  <c r="S102" i="15"/>
  <c r="S106" i="15" s="1"/>
  <c r="S96" i="15"/>
  <c r="R96" i="15"/>
  <c r="U4" i="15"/>
  <c r="T23" i="15"/>
  <c r="T33" i="15"/>
  <c r="R106" i="15"/>
  <c r="F128" i="15"/>
  <c r="K96" i="15"/>
  <c r="F56" i="15"/>
  <c r="N96" i="15"/>
  <c r="N103" i="15"/>
  <c r="N106" i="15" s="1"/>
  <c r="T88" i="15"/>
  <c r="T103" i="15" s="1"/>
  <c r="S112" i="15" s="1"/>
  <c r="P96" i="15"/>
  <c r="J62" i="15"/>
  <c r="O102" i="15"/>
  <c r="O106" i="15" s="1"/>
  <c r="M63" i="15"/>
  <c r="H96" i="15"/>
  <c r="U6" i="15"/>
  <c r="U5" i="15" s="1"/>
  <c r="K106" i="15"/>
  <c r="P102" i="15"/>
  <c r="P106" i="15" s="1"/>
  <c r="T67" i="15"/>
  <c r="U36" i="15"/>
  <c r="U33" i="15" s="1"/>
  <c r="I102" i="15"/>
  <c r="I106" i="15" s="1"/>
  <c r="H66" i="15"/>
  <c r="U24" i="15"/>
  <c r="U23" i="15" s="1"/>
  <c r="H106" i="15"/>
  <c r="Q96" i="15"/>
  <c r="Q106" i="15"/>
  <c r="W96" i="15" l="1"/>
  <c r="G127" i="15"/>
  <c r="G125" i="15"/>
  <c r="G126" i="15"/>
  <c r="T42" i="15"/>
  <c r="T44" i="15" s="1"/>
  <c r="T43" i="15"/>
  <c r="T47" i="15" s="1"/>
  <c r="U42" i="15"/>
  <c r="U45" i="15" s="1"/>
  <c r="U46" i="15" s="1"/>
  <c r="U43" i="15"/>
  <c r="U47" i="15" s="1"/>
  <c r="T65" i="15"/>
  <c r="T105" i="15"/>
  <c r="S114" i="15" s="1"/>
  <c r="F105" i="15"/>
  <c r="G114" i="15"/>
  <c r="T64" i="15"/>
  <c r="T66" i="15"/>
  <c r="R108" i="15"/>
  <c r="K108" i="15"/>
  <c r="M98" i="15"/>
  <c r="P108" i="15"/>
  <c r="N98" i="15"/>
  <c r="M108" i="15"/>
  <c r="K98" i="15"/>
  <c r="N108" i="15"/>
  <c r="J57" i="15"/>
  <c r="S98" i="15"/>
  <c r="S108" i="15"/>
  <c r="O108" i="15"/>
  <c r="I98" i="15"/>
  <c r="P98" i="15"/>
  <c r="H108" i="15"/>
  <c r="K56" i="15"/>
  <c r="I108" i="15"/>
  <c r="O98" i="15"/>
  <c r="Q98" i="15"/>
  <c r="Q108" i="15"/>
  <c r="N56" i="15"/>
  <c r="R98" i="15"/>
  <c r="H56" i="15"/>
  <c r="H57" i="15" s="1"/>
  <c r="H98" i="15"/>
  <c r="T62" i="15"/>
  <c r="T63" i="15"/>
  <c r="G119" i="15" l="1"/>
  <c r="G111" i="15"/>
  <c r="G122" i="15"/>
  <c r="G115" i="15"/>
  <c r="G117" i="15"/>
  <c r="G112" i="15"/>
  <c r="G123" i="15"/>
  <c r="G113" i="15"/>
  <c r="G124" i="15"/>
  <c r="G120" i="15"/>
  <c r="G121" i="15"/>
  <c r="G116" i="15"/>
  <c r="G118" i="15"/>
  <c r="G128" i="15"/>
  <c r="K57" i="15"/>
  <c r="L57" i="15" s="1"/>
  <c r="T45" i="15"/>
  <c r="T46" i="15" s="1"/>
  <c r="T49" i="15" l="1"/>
  <c r="M57" i="15"/>
  <c r="N57" i="15" s="1"/>
  <c r="O57" i="15" s="1"/>
  <c r="P57" i="15" s="1"/>
  <c r="Q57" i="15" s="1"/>
  <c r="R57" i="15" s="1"/>
  <c r="S57" i="15" s="1"/>
  <c r="T50" i="15" l="1"/>
  <c r="T51" i="15"/>
  <c r="T52" i="15" s="1"/>
  <c r="J81" i="15" l="1"/>
  <c r="J102" i="15" s="1"/>
  <c r="J106" i="15" s="1"/>
  <c r="J96" i="15" l="1"/>
  <c r="J98" i="15" s="1"/>
  <c r="J108" i="15" l="1"/>
  <c r="L81" i="15" l="1"/>
  <c r="L96" i="15" s="1"/>
  <c r="L98" i="15" s="1"/>
  <c r="F102" i="15" l="1"/>
  <c r="F106" i="15" s="1"/>
  <c r="L102" i="15"/>
  <c r="L106" i="15" s="1"/>
  <c r="L108" i="15" s="1"/>
  <c r="T81" i="15"/>
  <c r="T102" i="15" l="1"/>
  <c r="T96" i="15"/>
  <c r="T98" i="15" s="1"/>
  <c r="T106" i="15" l="1"/>
  <c r="T108" i="15" s="1"/>
  <c r="S111" i="15"/>
  <c r="S11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<sst xmlns="http://schemas.openxmlformats.org/spreadsheetml/2006/main" count="4544" uniqueCount="1060">
  <si>
    <t>DEPARTAMENTO DE PRESUPUESTO - GOBIERNO REGIONAL COQUIMBO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</si>
  <si>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</si>
  <si>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</si>
  <si>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</si>
  <si>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</si>
  <si>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</si>
  <si>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</si>
  <si>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</si>
  <si>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</si>
  <si>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</si>
  <si>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</si>
  <si>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</si>
  <si>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</si>
  <si>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</si>
  <si>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</si>
  <si>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</si>
  <si>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</si>
  <si>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</si>
  <si>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</si>
  <si>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</si>
  <si>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</si>
  <si>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</si>
  <si>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</si>
  <si>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</si>
  <si>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</si>
  <si>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</si>
  <si>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</si>
  <si>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</si>
  <si>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</si>
  <si>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</si>
  <si>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</si>
  <si>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</si>
  <si>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</si>
  <si>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</si>
  <si>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</si>
  <si>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</si>
  <si>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</si>
  <si>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</si>
  <si>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</si>
  <si>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</si>
  <si>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</si>
  <si>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</si>
  <si>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</si>
  <si>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</si>
  <si>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</si>
  <si>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</si>
  <si>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Adquisición de Activos Financieros</t>
  </si>
  <si>
    <t>10</t>
  </si>
  <si>
    <t>Fondo Emergencia Transitorio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</si>
  <si>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</si>
  <si>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</si>
  <si>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</si>
  <si>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</si>
  <si>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</si>
  <si>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</si>
  <si>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</si>
  <si>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</si>
  <si>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</si>
  <si>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</si>
  <si>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</si>
  <si>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</si>
  <si>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</si>
  <si>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</si>
  <si>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</si>
  <si>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</si>
  <si>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</si>
  <si>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</si>
  <si>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</si>
  <si>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</si>
  <si>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</si>
  <si>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</si>
  <si>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</si>
  <si>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</si>
  <si>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</t>
  </si>
  <si>
    <t>Deuda Flotante</t>
  </si>
  <si>
    <t>NOTA: Se considera la deuda flotante por la suma de M$ 9.370.562 - Subtitulo 34</t>
  </si>
  <si>
    <t>POR COMUNA</t>
  </si>
  <si>
    <t>POR COMUNA (M$)</t>
  </si>
  <si>
    <t>AÑO</t>
  </si>
  <si>
    <t>COMUNA</t>
  </si>
  <si>
    <t>Gasto 2023 (M$)</t>
  </si>
  <si>
    <t>Gasto 2024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</si>
  <si>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</si>
  <si>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</si>
  <si>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</si>
  <si>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</si>
  <si>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</si>
  <si>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</si>
  <si>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</si>
  <si>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</si>
  <si>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</si>
  <si>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</si>
  <si>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</si>
  <si>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</si>
  <si>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</si>
  <si>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</si>
  <si>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</si>
  <si>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</si>
  <si>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</si>
  <si>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</si>
  <si>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</si>
  <si>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</si>
  <si>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</si>
  <si>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</si>
  <si>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</si>
  <si>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 por la suma de M$ 9.370.562.-  No corresponde a distribución comunal.</t>
  </si>
  <si>
    <t>PROVINCIA</t>
  </si>
  <si>
    <t>ELQUI</t>
  </si>
  <si>
    <t>LIMARÍ</t>
  </si>
  <si>
    <t>CHOAPA</t>
  </si>
  <si>
    <t>TOTAL</t>
  </si>
  <si>
    <t xml:space="preserve">NOTA: No se considera la deuda flotante por la suma de M$ 9.370.562.- No corresponde a Provincia. </t>
  </si>
  <si>
    <t>AÑO ACUERDO</t>
  </si>
  <si>
    <t>GASTO AÑO PPTARIO 2024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</si>
  <si>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</si>
  <si>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</si>
  <si>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</si>
  <si>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</si>
  <si>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</si>
  <si>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</si>
  <si>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</si>
  <si>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</si>
  <si>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</si>
  <si>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</si>
  <si>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</si>
  <si>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</si>
  <si>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</si>
  <si>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</si>
  <si>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</si>
  <si>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</si>
  <si>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</si>
  <si>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 xml:space="preserve">DEPARTAMENTO DE PRESUPUESTO </t>
  </si>
  <si>
    <t>GOBIERNO REGIONAL DE COQUIMBO</t>
  </si>
  <si>
    <t>PROGRAMADO M$ MARCO DISTRIBUIDO 2024</t>
  </si>
  <si>
    <t>EJECUTADO M$ 2024</t>
  </si>
  <si>
    <t xml:space="preserve"> </t>
  </si>
  <si>
    <t>CODIGO</t>
  </si>
  <si>
    <t>SUBT</t>
  </si>
  <si>
    <t>COD. 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</si>
  <si>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</si>
  <si>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</si>
  <si>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</si>
  <si>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</si>
  <si>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</si>
  <si>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</si>
  <si>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</si>
  <si>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 EJECUCIÓN INICIATIVA</t>
  </si>
  <si>
    <t>ASIGNADO M$ 2024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</si>
  <si>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</si>
  <si>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</si>
  <si>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</si>
  <si>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</si>
  <si>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</si>
  <si>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</si>
  <si>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</si>
  <si>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</si>
  <si>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sept-24</t>
  </si>
  <si>
    <t>oct-24</t>
  </si>
  <si>
    <t>nov-24</t>
  </si>
  <si>
    <t>dic-24</t>
  </si>
  <si>
    <t>31.02</t>
  </si>
  <si>
    <t>EJECUCIÓN</t>
  </si>
  <si>
    <t xml:space="preserve">AMPLIACIÓN EDIFICIO CONSISTORIAL NUEVO EMPLAZAMIENTO, ANDACOLLO </t>
  </si>
  <si>
    <t>MULTISECTORIAL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</si>
  <si>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</si>
  <si>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</si>
  <si>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</si>
  <si>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</si>
  <si>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</si>
  <si>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</si>
  <si>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</si>
  <si>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</si>
  <si>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</si>
  <si>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</si>
  <si>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</si>
  <si>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</si>
  <si>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</si>
  <si>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</si>
  <si>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</si>
  <si>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</si>
  <si>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</si>
  <si>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MODIFICACIÓN DE CONVENIO</t>
  </si>
  <si>
    <t>CONST. CUARTEL DE BOMBEROS CUARTA CIA, COMUNA DE OVALLE</t>
  </si>
  <si>
    <t>9017 // 9490</t>
  </si>
  <si>
    <t>MUNICIPALIDAD DE COQUIMBO</t>
  </si>
  <si>
    <t>REEVALUACIÓN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</si>
  <si>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</si>
  <si>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</si>
  <si>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</si>
  <si>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</si>
  <si>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</si>
  <si>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</si>
  <si>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</si>
  <si>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</si>
  <si>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CONSTRUCCION CENTRO COMUNITARIO COGOTI 18, COMBARBALA</t>
  </si>
  <si>
    <t>MUNICIPALIDAD DE COMBARBALÁ</t>
  </si>
  <si>
    <t>CONSTRUCCIÓN CENTRO COMUNITARIO EL SAUCE COMUNA DE COQUIMBO</t>
  </si>
  <si>
    <t>LIQUIDACIÓN ANTICIPADA (AITO)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</si>
  <si>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</si>
  <si>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</si>
  <si>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</si>
  <si>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</si>
  <si>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</si>
  <si>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</si>
  <si>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</si>
  <si>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EDIFICIO CONSISTORIAL MUNICIPALIDAD DE LOS VILOS</t>
  </si>
  <si>
    <t>CONSTRUCCIÓN ELECTRIFICACIÓN RURAL LAS CAÑAS, CANELA</t>
  </si>
  <si>
    <t>ENERGIA</t>
  </si>
  <si>
    <t>COMPAÑÍA GENERAL DE ELECTRICIDAD</t>
  </si>
  <si>
    <t>CONSTRUCCIÓN ESTADIO MUNICIPAL DE CANELA BAJA</t>
  </si>
  <si>
    <t>MUNICIPALIDAD DE CANELA</t>
  </si>
  <si>
    <t>CONSTRUCCION III CESFAM URBANO OVALLE</t>
  </si>
  <si>
    <t>5271 // 6224</t>
  </si>
  <si>
    <t>DIRECCIÓN DE ARQUITECTURA // MUNICIPALIDAD DE OVALLE</t>
  </si>
  <si>
    <t>CONSTRUCCION INSTITUTO DE REHABILITACION, TELETON, DE COQUIMBO</t>
  </si>
  <si>
    <t>CONSTRUCCION JARDIN INFANTIL Y SALA CUNA LOS CHANGUITOS</t>
  </si>
  <si>
    <t>CONSTRUCCION MERCADO DEL MAR</t>
  </si>
  <si>
    <t>TURISMO /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</si>
  <si>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</si>
  <si>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</si>
  <si>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</si>
  <si>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</si>
  <si>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</si>
  <si>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</si>
  <si>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</si>
  <si>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</si>
  <si>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TT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</si>
  <si>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</si>
  <si>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</si>
  <si>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</si>
  <si>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</si>
  <si>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</si>
  <si>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</si>
  <si>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</si>
  <si>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TERMINADO (INVIABLE)</t>
  </si>
  <si>
    <t>CONSTRUCCIÓN PLAZA DE ABASTOS EN LAS COMPAÑIAS, LA SERENA</t>
  </si>
  <si>
    <t>CONSTRUCCION PLAZA DE ABASTOS VILLA LAMBERT, SECTOR LAS COMPAÑIAS, LA SERENA</t>
  </si>
  <si>
    <t>CONSTRUCCIÓN PLAZA LO MUÑOZ, COMUNA LOS VILOS</t>
  </si>
  <si>
    <t>TERMINADO</t>
  </si>
  <si>
    <t>CONSTRUCCION RED ELECTRICA DE CENTINELA II - CARRIZAL, COMBARBALA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</si>
  <si>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</si>
  <si>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</si>
  <si>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</si>
  <si>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</si>
  <si>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</si>
  <si>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</si>
  <si>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</si>
  <si>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</si>
  <si>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</si>
  <si>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</si>
  <si>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HABILITACION BASE SAMU INTERVENTORIA SALAMANCA</t>
  </si>
  <si>
    <t>HABILITACION CASA DE LA MEMORIA COMUNA COQUIMBO</t>
  </si>
  <si>
    <t>HABILITACIÓN CENTRO DE ARTE Y CULTURA "ESPACIO ESTACIÓN", VICUÑA</t>
  </si>
  <si>
    <t>MUNICIPALIDAD DE VICUÑA</t>
  </si>
  <si>
    <t>HABILITACION CENTRO DE EXTENSION CULTURAL PARA EL PATRIMONIO, COMUNA DE LA SERENA</t>
  </si>
  <si>
    <t>MEJOR. CANCHA DE FUTBOL DE SERON, RIO HURTADO</t>
  </si>
  <si>
    <t>MUNICIPALIDAD DE RÍO HURTADO</t>
  </si>
  <si>
    <t xml:space="preserve">MEJORAMIENTO CANCHA COMPLEJO DEPORTIVO EL MILAGRO ANFA LA PAMPA </t>
  </si>
  <si>
    <t>TRANSFERENCIA DE BIENES</t>
  </si>
  <si>
    <t>MEJORAMIENTO CANCHA DE FUTBOL  DE HURTADO</t>
  </si>
  <si>
    <t>MEJORAMIENTO COMPLEJO DEPORTIVO JUAN SOLDADO, COMUNA DE LA SERENA</t>
  </si>
  <si>
    <t>MEJORAMIENTO ESTADIO MUNICIPAL, VICUÑA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</si>
  <si>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</si>
  <si>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</si>
  <si>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</si>
  <si>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</si>
  <si>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</si>
  <si>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REPOSICIÓN  AVENIDA IGNACIO SILVA COMUNA DE ILLAPEL</t>
  </si>
  <si>
    <t>REPOSICION CENTRO COMUNITARIO DE REHABILITACION, COMUNA DE MONTE PATRIA</t>
  </si>
  <si>
    <t>DIRECCIÓN REGIONAL DE ARQUITECTURA</t>
  </si>
  <si>
    <t>REPOSICIÓN CENTRO DE SALUD DE CAREN, COMUNA DE MONTE PATRIA</t>
  </si>
  <si>
    <t>REPOSICIÓN CES FAMILIAR, RIO HURTADO</t>
  </si>
  <si>
    <t>5271 // 6427</t>
  </si>
  <si>
    <t>REPOSICIÓN COLEGIO YUNGAY DE EDUCACIÓN ESPECIAL OVALLE</t>
  </si>
  <si>
    <t xml:space="preserve">REPOSICION CONSULTORIO GENERAL URBANO DE SAN JUAN </t>
  </si>
  <si>
    <t>5271 // 6426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</si>
  <si>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</si>
  <si>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</si>
  <si>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</si>
  <si>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</si>
  <si>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REPOSICION CUARTEL DE BOMBEROS DE CERRILLOS DE TAMAYA, OVALLE</t>
  </si>
  <si>
    <t>REPOSICION DE POSTA DE SALUD RURAL EL DURAZNO, COMBARBALA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</si>
  <si>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</si>
  <si>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</si>
  <si>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</si>
  <si>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REPOSICIÓN ESCUELA SAN ANTONIO DE LA VILLA, BARRAZA, COMUNA DE OVALLE</t>
  </si>
  <si>
    <t>REPOSICIÓN HOGAR ESTUDIANTIL - COMBARBALA</t>
  </si>
  <si>
    <t>CONVENIO TT</t>
  </si>
  <si>
    <t>REPOSICION HOGAR MASCULINO DE PUNITAQUI</t>
  </si>
  <si>
    <t>REPOSICION JARDIN INFANTIL MI PEQUEÑO TESORO ILLAPEL, COM DE ILLAPEL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</si>
  <si>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</si>
  <si>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</si>
  <si>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</si>
  <si>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</si>
  <si>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</si>
  <si>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</si>
  <si>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</si>
  <si>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</si>
  <si>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</si>
  <si>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</si>
  <si>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</si>
  <si>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</si>
  <si>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</si>
  <si>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</si>
  <si>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>RESTAURACION DEL CONJUNTO TORRE BAUER, VICUÑA</t>
  </si>
  <si>
    <t xml:space="preserve">RESTAURACION ESTRUCTURAL IGLESIA SAN VICENTE FERRER, OVALLE </t>
  </si>
  <si>
    <t>CONSULTORÍA POR ACTUALIZACIÓN DE DISEÑO EN EJECUCIÓN</t>
  </si>
  <si>
    <t>24.01</t>
  </si>
  <si>
    <t>021</t>
  </si>
  <si>
    <t>PROPUESTA FINANCIAMIENTO BASAL CEAZA 2023 – 2024</t>
  </si>
  <si>
    <t>RECURSOS NATURALES Y MEDIO AMBIENTE</t>
  </si>
  <si>
    <t>CENTRO DE ESTUDIOS AVANZADOS EN ZONAS ÁRIDAS - CEAZA</t>
  </si>
  <si>
    <t>33.03</t>
  </si>
  <si>
    <t>027</t>
  </si>
  <si>
    <t>SENADIS, AYUDAS TECNICAS PARA PCD DE LA REGIONAL DE COQUIMBO</t>
  </si>
  <si>
    <t>SENADIS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</si>
  <si>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</si>
  <si>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</si>
  <si>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</si>
  <si>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</si>
  <si>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</si>
  <si>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</si>
  <si>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</si>
  <si>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</si>
  <si>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S/ASIGNAR</t>
  </si>
  <si>
    <t>CONVENIO</t>
  </si>
  <si>
    <t>CONSTRUCCION SOLUCIONES SANITARIAS HUENTELAUQUEN SUR, CANELA.</t>
  </si>
  <si>
    <t>9017 // 9833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</si>
  <si>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</si>
  <si>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</si>
  <si>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</si>
  <si>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</si>
  <si>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29.03</t>
  </si>
  <si>
    <t>ADQUISICION MAQUINARIA PESADA PARA MANTENCION Y REPARACION DE CAMINOS RURALES, COQUIMBO</t>
  </si>
  <si>
    <t>REPOSICION DE DOS CAMIONES RECOLECTORES DE RESIDUOS DOMICILIARIOS, LA HIGUERA</t>
  </si>
  <si>
    <t>GOBIERNO REGIONAL</t>
  </si>
  <si>
    <t>REPOSICION DE VEHÍCULOS DE MAQUINARIA PESADA PARA LA COMUNA DE OVALLE</t>
  </si>
  <si>
    <t>ADQUISICIÓN 2 CAMIONES ALJIBES DE 10000 LITROS COMUNA DE OVALLE</t>
  </si>
  <si>
    <t>ADQUISICIÓN DE 2 CAMIONES ALJIBE, COMUNA DE ANDACOLLO</t>
  </si>
  <si>
    <t>REPOSICION DE AMBULANCIAS PARA LA ATENCION PRIMARIA DE SALUD EN LA COMUNA DE COQUIMBO</t>
  </si>
  <si>
    <t>SERVICIO DE SALUD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</si>
  <si>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</si>
  <si>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</si>
  <si>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</si>
  <si>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</si>
  <si>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</si>
  <si>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PROGRAMA DE APOYO AL DESARROLLO DE LA COMPETITIVIDAD EN PLAN ZONAS REZAGADAS</t>
  </si>
  <si>
    <t>MULTISECTORIAL / INTERSUBSECTORIAL MULTISECTOR</t>
  </si>
  <si>
    <t>CORFO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</si>
  <si>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</si>
  <si>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</si>
  <si>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</si>
  <si>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</si>
  <si>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ADQUISICION BUS ONCOLOGICO, LA SERENA</t>
  </si>
  <si>
    <t>PRIORIZADO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</si>
  <si>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</si>
  <si>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</si>
  <si>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</si>
  <si>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</si>
  <si>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</si>
  <si>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</si>
  <si>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ADQUISICION MAQUINARIA VERTEDERO MUNICIPAL DE MONTE PATRIA</t>
  </si>
  <si>
    <t>ADQUISICION CAMIONES RECOLECTORES DE BASURA, COMUNA DE MONTE PATRIA</t>
  </si>
  <si>
    <t>REPOSICION CAMION RECOLECTOR ILLAPEL, COMUNA DE ILLAPEL</t>
  </si>
  <si>
    <t>REPOSICION CAMION RECOLECTOR RSD, PAIHUANO</t>
  </si>
  <si>
    <t>CONSERVACION LICEO GREGORIO CORDOVEZ, LA SERENA</t>
  </si>
  <si>
    <t>PERDIÓ RATE RS</t>
  </si>
  <si>
    <t>CONSERVACION LICEO GRABRIELA MISTRAL, LA SERENA</t>
  </si>
  <si>
    <t>CONECTIVIDAD DE TELECOMUNICACIONES EN LOS TERRITORIOS PIRDT PRIMERA ETAPA.</t>
  </si>
  <si>
    <t>SUBSECRETARÍA DE TELECOMUNICACIONES</t>
  </si>
  <si>
    <t>SERNAPESCA - DESARROLLO Y FOMENTO DE LA PESCA ARTESANAL EN LA REGIÓN DE COQUIMBO (40000006-0)</t>
  </si>
  <si>
    <t>PESCA</t>
  </si>
  <si>
    <t>8952 // 9323</t>
  </si>
  <si>
    <t>SERNAPESCA</t>
  </si>
  <si>
    <t>FOSIS - CONCURSO REGIONAL DE EMPRENDIMIENTO CREE 2019 (40006127-0)</t>
  </si>
  <si>
    <t>9725 // 9830</t>
  </si>
  <si>
    <t>FOSIS</t>
  </si>
  <si>
    <t>MAPAS DE RESERVAS DE AGUAS SUBTERRÁNEAS EN EL LIMARÍ</t>
  </si>
  <si>
    <t>INNOVACION PARA LA COMPETITIVIDAD</t>
  </si>
  <si>
    <t>UNIVERSIDAD DE LA SERENA</t>
  </si>
  <si>
    <t>33.01</t>
  </si>
  <si>
    <t>TRANSFERENCIA TECNOLÓGICA PARA DAR VALOR AGREGADO A LIMONES DE PUNITAQUI</t>
  </si>
  <si>
    <t>ULS - BOTRICIDAS ORGANICOS PARA CONTROLAR BOTRYTIS CINEREA (40014467-0)</t>
  </si>
  <si>
    <t>TRANSFERENCIAS TECNOLÓGICA PARA CULTIVO HORTALIZAS HIDROPÓNICAS EN LA REGIÓN DE COQUIMBO</t>
  </si>
  <si>
    <t>COMITES DE AGUA POTABLE RURAL CAP</t>
  </si>
  <si>
    <t>INNOVACION TECNOLOGICA PARA LA ATENCIÓN EN EL SRCEI</t>
  </si>
  <si>
    <t>RECUPERACIÓN RESTAURACIÓN HIDROLÓGICA FORESTAL MICROCUENCAS ZONAS REZAGADAS</t>
  </si>
  <si>
    <t>RECURSOS NATURALES Y MEDIO AMBIENTE / INTERSUBSECTORIAL SILVOAGROPECUARIO</t>
  </si>
  <si>
    <t>CONAF</t>
  </si>
  <si>
    <t>PRODUCCION LIMPIA PARA MYPES DE COMUNAS REZAGADAS</t>
  </si>
  <si>
    <t>TRANSFERENCIA FNDR RECUPERACIÓN PYMES REGIÓN DE COQUIMBO</t>
  </si>
  <si>
    <t>MULTISECTORIAL / ADMINISTRACION MULTISECTOR</t>
  </si>
  <si>
    <t>CAPACITACION AUTONOMIA ECONOMICA DE LAS MUJERES DE LA REGION DE COQUIMBO-SERNAMEG</t>
  </si>
  <si>
    <t>SERNAMEG</t>
  </si>
  <si>
    <t>DESARROLLO PARA MYPIMES, EMPRENDEDORES Y GRUPOS EMPRESARIALES</t>
  </si>
  <si>
    <t>SERCOTEC</t>
  </si>
  <si>
    <t>DIRECCIÓN GENERAL DE PROMOCIÓN DE EXPORTADCIONES - CAPACITACIÓN INTERNACIONAL ZONAS REZAGADAS</t>
  </si>
  <si>
    <t>PROCHILE</t>
  </si>
  <si>
    <t>SERNATUR - TRANSFERENCIA PROGRAMA FORTALECIMIENTO DE EXPERIENCIAS TURISTICAS EN ZONAS REZAGADAS</t>
  </si>
  <si>
    <t>SERNATUR</t>
  </si>
  <si>
    <t xml:space="preserve">COMITÉ AGENCIA DE FOMENTO DE LA PRODUCCIÓN SUSTENTABLE- TRANSFERENCIA APOYO EN REGULARIZACIÓN DE MYPE DE LAS COMUNAS REZAGADAS </t>
  </si>
  <si>
    <t>CAPACITACION BECAS MEDICAS SERVICIO DE SALUD</t>
  </si>
  <si>
    <t>PROGRAMA REACTIVATE COQUIMBO</t>
  </si>
  <si>
    <t>FOMENTO PRODUCTIVO PARA EL DESARROLLO DE LA PESCA ARTESANAL</t>
  </si>
  <si>
    <t>INDESPA</t>
  </si>
  <si>
    <t>FORTALECIMIENTO DE LAS CAPACIDADES DE INNOVACIÓN</t>
  </si>
  <si>
    <t>PLAN DE MARKETING 360 REPOSICIONAMIENTO DESTINO TURISTICO REGIÓN DE COQUIMBO</t>
  </si>
  <si>
    <t xml:space="preserve">TURISMO Y COMERCIO </t>
  </si>
  <si>
    <t xml:space="preserve">SERNATUR 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</si>
  <si>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</si>
  <si>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</si>
  <si>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</si>
  <si>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</si>
  <si>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</si>
  <si>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TURISMO Y COMERCIO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</si>
  <si>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</si>
  <si>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</si>
  <si>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</si>
  <si>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U. CHILE</t>
  </si>
  <si>
    <t>ULS SISTEMA DE INTELIGENCIA TURISTICO REGION DE COQUIMBO</t>
  </si>
  <si>
    <t>U. CHILE, RIEGO INTELIGENTE AGRICULTURA 4.0 PRODUCTIVIDAD FRUTALES</t>
  </si>
  <si>
    <t>UNIVERSIDAD DE CHILE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</si>
  <si>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</si>
  <si>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</si>
  <si>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</si>
  <si>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</si>
  <si>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</si>
  <si>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</si>
  <si>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</si>
  <si>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</si>
  <si>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</si>
  <si>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</si>
  <si>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SANEAMIENTO PROGRAMA SANITARIO PRODUCTIVO CRIANCEROS COQUIMBO 2022</t>
  </si>
  <si>
    <t>SAG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</si>
  <si>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</si>
  <si>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</si>
  <si>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</si>
  <si>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</si>
  <si>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</si>
  <si>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</si>
  <si>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</si>
  <si>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</si>
  <si>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</si>
  <si>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</si>
  <si>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</si>
  <si>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</si>
  <si>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</si>
  <si>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</si>
  <si>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</si>
  <si>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</si>
  <si>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</si>
  <si>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</si>
  <si>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REPOSICION POSTA DE SALUD RURAL EL DIVISADERO, PUNITAQUI</t>
  </si>
  <si>
    <t>001</t>
  </si>
  <si>
    <t>ADQUISICION CARRO DE RESCATE PESADO 4X4 CON GRÚA PLUMA, 1ª COMPAÑÍA DE BOMBEROS COQUIMBO</t>
  </si>
  <si>
    <t>ADQUISICIÓN CARROS MULTIPROPOSITO SEMIURBANO PARA C. BOMBEROS LOS VILOS, PUNITAQUI Y VICUÑA</t>
  </si>
  <si>
    <t>ADQUISICION EQUIPAMIENTO DE PROTECCION PERSONAL PARA BOMBEROS REGION DE COQUIMBO</t>
  </si>
  <si>
    <t>JUNTA NACIONAL DE BOMBEROS DE CHILE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</si>
  <si>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</si>
  <si>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</si>
  <si>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</si>
  <si>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</si>
  <si>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006</t>
  </si>
  <si>
    <t>FINANCIAMIENTO BASAL PARA EL FUNCIONAMIENTO Y OPERACIÓN DE LA CORPORACIÓN REGIONAL DE DESARROLLO PRODUCTIVO (CRDP) 2022-2023</t>
  </si>
  <si>
    <t>CORPORACIÓN REGIONAL DE DESARROLLO PRODUCTIVO (CRDP)</t>
  </si>
  <si>
    <t>22.11</t>
  </si>
  <si>
    <t>009</t>
  </si>
  <si>
    <t>ACTUALIZACION ESTRATEGIA REGIONAL DE DESARROLLO AL 2030 REGION DE COQUIMBO</t>
  </si>
  <si>
    <t>9772 // 9828</t>
  </si>
  <si>
    <t>010</t>
  </si>
  <si>
    <t>APLICACIÓN LETRA A) ART. CUARTO TRANSITORIO LEY Nº 20.378 - PROGRAMAS RENUEVA TU MICRO Y RENUEVA TU COLECTIVO (RTM-RTC)</t>
  </si>
  <si>
    <t>5125 // 7360</t>
  </si>
  <si>
    <t>Concurso de Vinculación con la Comunidad - PRIVADO</t>
  </si>
  <si>
    <t>24.03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</si>
  <si>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</si>
  <si>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</si>
  <si>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</si>
  <si>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</si>
  <si>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</si>
  <si>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</si>
  <si>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</si>
  <si>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</si>
  <si>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</si>
  <si>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</si>
  <si>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</si>
  <si>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</si>
  <si>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</si>
  <si>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</si>
  <si>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</si>
  <si>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</si>
  <si>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147</t>
  </si>
  <si>
    <t>REPOSICION AMBULANCIAS DEPARTAMENTO DE SALUD CGGV, LA SERENA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</si>
  <si>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</si>
  <si>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</si>
  <si>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</si>
  <si>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</si>
  <si>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</si>
  <si>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</si>
  <si>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</si>
  <si>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421</t>
  </si>
  <si>
    <t>UCN SISTEMA FOTOVOLTAICO DE DEPURACION INTEGRADA DE AGUA Y AIRE</t>
  </si>
  <si>
    <t>UCN</t>
  </si>
  <si>
    <t>422</t>
  </si>
  <si>
    <t>PUC REUSO DE AGUA PARA UN TURISMO REGIONAL SOSTENIBLE</t>
  </si>
  <si>
    <t>Pontificia Universidad Católica de Chile</t>
  </si>
  <si>
    <t>423</t>
  </si>
  <si>
    <t>INIA CALIDAD ONLINE DEL AGUA DE RIEGO DEL RIO ELQUI Y CHOAPA</t>
  </si>
  <si>
    <t>424</t>
  </si>
  <si>
    <t>INVESTIGACION FORTALECIMIENTO DEL TURISMO DESDE LA IDENTIDAD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</si>
  <si>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</si>
  <si>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</si>
  <si>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</si>
  <si>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</si>
  <si>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</si>
  <si>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</si>
  <si>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 xml:space="preserve">UNIVERSIDAD CATÓLICA DEL NORTE </t>
  </si>
  <si>
    <t>428</t>
  </si>
  <si>
    <t xml:space="preserve">UNIVERSIDAD CATÓLICA DEL NORTE - GRANJAS MARINAS INNOVACIÓN PRODUCTIVA EN ÁREAS DE MANEJO </t>
  </si>
  <si>
    <t>429</t>
  </si>
  <si>
    <t xml:space="preserve">UNIVERSIDAD CATÓLICA DEL NORTE - DESARROLLO PROTOTIPO PARA RECICLAR RESIDUOS ACUÍCOLAS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</si>
  <si>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</si>
  <si>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</si>
  <si>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</si>
  <si>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</si>
  <si>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</si>
  <si>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</si>
  <si>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</si>
  <si>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</si>
  <si>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</si>
  <si>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</si>
  <si>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</si>
  <si>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</si>
  <si>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</si>
  <si>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</si>
  <si>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</si>
  <si>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</si>
  <si>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</si>
  <si>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</si>
  <si>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</si>
  <si>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</si>
  <si>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438</t>
  </si>
  <si>
    <t xml:space="preserve">UNIVERSIDAD CATÓLICA DEL NORTE - GESTIÓN DE SUSTANCIAS PELIGROSAS EN ZONAS INDUSTRIALES 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</si>
  <si>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</si>
  <si>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</si>
  <si>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</si>
  <si>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</si>
  <si>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</si>
  <si>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</si>
  <si>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</si>
  <si>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</si>
  <si>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</si>
  <si>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</si>
  <si>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</si>
  <si>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</si>
  <si>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</si>
  <si>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</si>
  <si>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</si>
  <si>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</si>
  <si>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</si>
  <si>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</si>
  <si>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</si>
  <si>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</si>
  <si>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</si>
  <si>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</si>
  <si>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</si>
  <si>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</si>
  <si>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</si>
  <si>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</si>
  <si>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</si>
  <si>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</si>
  <si>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</si>
  <si>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</si>
  <si>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</si>
  <si>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</si>
  <si>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</si>
  <si>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</si>
  <si>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</si>
  <si>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</si>
  <si>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</si>
  <si>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</si>
  <si>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</si>
  <si>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</si>
  <si>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</si>
  <si>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</si>
  <si>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</si>
  <si>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</si>
  <si>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</si>
  <si>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CONSTRUCCION ESPACIOS PUBLICOS EL CHAÑAR, COMUNA DE RIO HURTADO</t>
  </si>
  <si>
    <t>999</t>
  </si>
  <si>
    <t>FONDO REGIONAL PARA LA PRODUCTIVIDAD Y EL DESARROLLO - SIN DISTRIBUIR</t>
  </si>
  <si>
    <t>ADQUISICIÓN DE 2 BUSES ELÉCTRICOS PARA TRANSPORTE ESCOLAR, COMUNA DE OVALLE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</si>
  <si>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</si>
  <si>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</si>
  <si>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</si>
  <si>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</si>
  <si>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CAMPO VERDE SOTAQUI, OVALLE (COFINANCIAMIENTO SERVIU)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</si>
  <si>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</si>
  <si>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</si>
  <si>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</si>
  <si>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</si>
  <si>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</si>
  <si>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</si>
  <si>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REPOSICIÓN MAQUINARIA PESADA, COMUNA DE COMBARBALÁ</t>
  </si>
  <si>
    <t>REPOSICIÓN VEHÍCULOS DE TRASLADO DE REOS UNIDAD DE SERVICIOS ESPECIALES PENITENCIARIOS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</si>
  <si>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</si>
  <si>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</si>
  <si>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</si>
  <si>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</si>
  <si>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</si>
  <si>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</si>
  <si>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</si>
  <si>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MUNICIPALIDA DE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</si>
  <si>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</si>
  <si>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</si>
  <si>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</si>
  <si>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</si>
  <si>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</si>
  <si>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</si>
  <si>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</si>
  <si>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</si>
  <si>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</si>
  <si>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</si>
  <si>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</si>
  <si>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</si>
  <si>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</si>
  <si>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</si>
  <si>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</si>
  <si>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</si>
  <si>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</si>
  <si>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</si>
  <si>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COMBARBALÁ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</si>
  <si>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</si>
  <si>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</si>
  <si>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</si>
  <si>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</si>
  <si>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29.05</t>
  </si>
  <si>
    <t>ADQUISICIÓN DE EQUIPOS PARA INTERVENIR A PACIENTES CON ENFERMEDAD DE PARKINSON, H. COQUIMBO</t>
  </si>
  <si>
    <t>ADQUISICIÓN DE MAQUINARIA PARA VERTEDERO MUNICIPAL, COMUNA PUNITAQUI</t>
  </si>
  <si>
    <t>ADQUISICIÓN DE MOTOS TRANSITO PARA UNIDADES POLICIALES DE LA REGION DE COQUIMBO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</si>
  <si>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</si>
  <si>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</si>
  <si>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</si>
  <si>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</si>
  <si>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32.06</t>
  </si>
  <si>
    <t>ANTICIPO A CONTRATISTAS</t>
  </si>
  <si>
    <t>26.02</t>
  </si>
  <si>
    <t>COMPENSACIÓN POR DAÑOS A TERCEROS</t>
  </si>
  <si>
    <t>CONSERVACIÓN COLEGIO JAPON - RBD, LA SERENA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</si>
  <si>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</si>
  <si>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</si>
  <si>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</si>
  <si>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</si>
  <si>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</si>
  <si>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</si>
  <si>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</si>
  <si>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</si>
  <si>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</si>
  <si>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</si>
  <si>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</si>
  <si>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</si>
  <si>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</si>
  <si>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</si>
  <si>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</si>
  <si>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</si>
  <si>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</si>
  <si>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</si>
  <si>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SERVIU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</si>
  <si>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</si>
  <si>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</si>
  <si>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</si>
  <si>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</si>
  <si>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</si>
  <si>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</si>
  <si>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</si>
  <si>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OBRA DETENIDA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</si>
  <si>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</si>
  <si>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</si>
  <si>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</si>
  <si>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</si>
  <si>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</si>
  <si>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</si>
  <si>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CGE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</si>
  <si>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</si>
  <si>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</si>
  <si>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</si>
  <si>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</si>
  <si>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</si>
  <si>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</si>
  <si>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</si>
  <si>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</si>
  <si>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GENDARMERÍA DE CHILE</t>
  </si>
  <si>
    <t>33</t>
  </si>
  <si>
    <t>OBTENCIÓN DE SOLUCIONES DE COBALTO Y HIERRO DESDE RELAVES MINEROS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</si>
  <si>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</si>
  <si>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</si>
  <si>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</si>
  <si>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</si>
  <si>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</si>
  <si>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</si>
  <si>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</si>
  <si>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</si>
  <si>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</si>
  <si>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</si>
  <si>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</si>
  <si>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</si>
  <si>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</si>
  <si>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</si>
  <si>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</si>
  <si>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</si>
  <si>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</si>
  <si>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</si>
  <si>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</si>
  <si>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</si>
  <si>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</si>
  <si>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</si>
  <si>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</si>
  <si>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</si>
  <si>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</si>
  <si>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</si>
  <si>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</si>
  <si>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</si>
  <si>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</si>
  <si>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</si>
  <si>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</si>
  <si>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</si>
  <si>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</si>
  <si>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</si>
  <si>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</si>
  <si>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</si>
  <si>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</si>
  <si>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>ELABORACIÓN DE CONTRATO</t>
  </si>
  <si>
    <t xml:space="preserve">CAPACITACIÓN  ESCUELA DE EMPRENDIMIENTO DE PCD Y CUIDADORES/AS DE LA REGIÓN DE COQUIMBO 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</si>
  <si>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</si>
  <si>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</si>
  <si>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</si>
  <si>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</si>
  <si>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</si>
  <si>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TRANSFERENCIA FORTALECIMIENTO PRODUCTIVO Y SEGURIDAD MINERA REGIÓN DE COQUIMBO</t>
  </si>
  <si>
    <t>SUBSECRETARÍA DE MINERIA</t>
  </si>
  <si>
    <t xml:space="preserve">CONSTRUCCION ESTACION DE TRANSFERENCIA DE RESID. SOLIDOS DOMIC. Y ASIM. COMUNA DE CANELA </t>
  </si>
  <si>
    <t>SUBTITULO 24.03 - PROGRAMAS DE INVERSIÓN</t>
  </si>
  <si>
    <t>SUBTITULO 31 -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</si>
  <si>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</si>
  <si>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</si>
  <si>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</si>
  <si>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</si>
  <si>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</si>
  <si>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</si>
  <si>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</si>
  <si>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SEREMI MEDIO AMBIENTE - Capacitación Plan de manejo sitio Ramsar Huentelauquén (30436632-0)</t>
  </si>
  <si>
    <t xml:space="preserve">SEREMI MEDIO AMBIENTE </t>
  </si>
  <si>
    <t>PREFACTIBILIDAD</t>
  </si>
  <si>
    <t>CONSTRUCCIÓN CENTRO DE GESTIÓN DE RESIDUOS INORGÁNICOS PROVINCIA DE ELQUI, REGIÓN DE COQUIMBO</t>
  </si>
  <si>
    <t>DIT - GORE</t>
  </si>
  <si>
    <t>DESIGNACIÓN UT A DIT-GORE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</si>
  <si>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</si>
  <si>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</si>
  <si>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</si>
  <si>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</si>
  <si>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</si>
  <si>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</si>
  <si>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</si>
  <si>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</si>
  <si>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</si>
  <si>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</si>
  <si>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ESTRATEGIA REGIONAL DE TURISMO, REGIÓN DE COQUIMBO</t>
  </si>
  <si>
    <t>TRANSFERENCIA FORTALECIMIENTO Y DESARROLLO SUSTENTABLE DEL TURISMO AVENTURA</t>
  </si>
  <si>
    <t>Banco comunitario de semillas para la AFC</t>
  </si>
  <si>
    <t>Instituto De Investigaciones Agropecuarias (INIA)</t>
  </si>
  <si>
    <t>Mutaciones en BRCA1/2 y la prevención del cáncer de mama</t>
  </si>
  <si>
    <t>Universidad Católica Del Norte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</si>
  <si>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</si>
  <si>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</si>
  <si>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</si>
  <si>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</si>
  <si>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</si>
  <si>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</si>
  <si>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</si>
  <si>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</si>
  <si>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</si>
  <si>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</si>
  <si>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</si>
  <si>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</si>
  <si>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</si>
  <si>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</si>
  <si>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</si>
  <si>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</si>
  <si>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</si>
  <si>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</si>
  <si>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24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</si>
  <si>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</si>
  <si>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</si>
  <si>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</si>
  <si>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</si>
  <si>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</si>
  <si>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TRANSFERENCIA PARA EL MEJORAMIENTO DE
LA PRODUCCION DE UVAS PISQUERAS DE PEQUEÑOS AGRICULTORES</t>
  </si>
  <si>
    <t>ASIGNACIÓN PRESUPUESTARIA EN TRÁMITE PARA VISACIÓN DIPRES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</si>
  <si>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</si>
  <si>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</si>
  <si>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</si>
  <si>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</si>
  <si>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</si>
  <si>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</si>
  <si>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</si>
  <si>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</si>
  <si>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</si>
  <si>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</si>
  <si>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305</t>
  </si>
  <si>
    <t>TRANSFERENCIA REDUCCIÓN DE TIEMPOS DE ESPERA CON FONDOS REGIONALES</t>
  </si>
  <si>
    <t>ADQUISICION CÁMARAS DE FISCALIZACION PARA TP, EJE CIENFUEGOS</t>
  </si>
  <si>
    <t>REPOSICION DE VEHÍCULOS POLICIALES PARA LA SECCIÓN LABOCAR DE CARABINEROS COQUIMBO</t>
  </si>
  <si>
    <t xml:space="preserve">CONSERVACIÓN ESCUELA VILLA EL PALQUI, COMUNA DE MONTE PATRIA 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</si>
  <si>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</si>
  <si>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</si>
  <si>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</si>
  <si>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</si>
  <si>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</si>
  <si>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</si>
  <si>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</si>
  <si>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</si>
  <si>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</si>
  <si>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</si>
  <si>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</si>
  <si>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</si>
  <si>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</si>
  <si>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</si>
  <si>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</si>
  <si>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</si>
  <si>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</si>
  <si>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REBAJA PRESUPUESTARIA EN TRÁMITE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</si>
  <si>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</si>
  <si>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</si>
  <si>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</si>
  <si>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</si>
  <si>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</si>
  <si>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</si>
  <si>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TRANSFERENCIA PLAN EMERGENCIA HÍDRICA 2024, COMUNA DE VICUÑA</t>
  </si>
  <si>
    <t>TRANSFERENCIA PLAN EMERGENCIA HÍDRICA 2024, COMUNA DE OVALLE</t>
  </si>
  <si>
    <t>TRANSFERENCIA PLAN EMERGENCIA HÍDRICA 2024, COMUNA DE RÍO HURTADO</t>
  </si>
  <si>
    <t>TRANSFERENCIA PLAN EMERGENCIA HÍDRICA 2024, COMUNA DE LOS VILOS</t>
  </si>
  <si>
    <t>TRANSFERENCIA PLAN EMERGENCIA HÍDRICA 2024, COMUNA DE SALAMANCA</t>
  </si>
  <si>
    <t>PROGRAMA DE EMERGENCIA HÍDRICA 2024 - LINEA 8 "TASA DE PEAJE VERANADAS 2024-2025"</t>
  </si>
  <si>
    <t>MEJORAMIENTO AVDA. COSTANERA ENTRE 1 NORTE Y DAGOBERTO GODOY, COMUNA DE LOS VILOS</t>
  </si>
  <si>
    <t>FRIL</t>
  </si>
  <si>
    <t xml:space="preserve"> CODIGO </t>
  </si>
  <si>
    <t>GASTO 2024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</si>
  <si>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</si>
  <si>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</si>
  <si>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</si>
  <si>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</si>
  <si>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</si>
  <si>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</si>
  <si>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</si>
  <si>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</si>
  <si>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</si>
  <si>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</si>
  <si>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</si>
  <si>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</si>
  <si>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</si>
  <si>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</si>
  <si>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</si>
  <si>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</si>
  <si>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</si>
  <si>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</si>
  <si>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</si>
  <si>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</si>
  <si>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</si>
  <si>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</si>
  <si>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</si>
  <si>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</si>
  <si>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</si>
  <si>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</si>
  <si>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</si>
  <si>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</si>
  <si>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</si>
  <si>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</si>
  <si>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</si>
  <si>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</si>
  <si>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</si>
  <si>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</si>
  <si>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</si>
  <si>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</si>
  <si>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</si>
  <si>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</si>
  <si>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</si>
  <si>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</si>
  <si>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</si>
  <si>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</si>
  <si>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</si>
  <si>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</si>
  <si>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</si>
  <si>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</si>
  <si>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</si>
  <si>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</si>
  <si>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</si>
  <si>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</si>
  <si>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</si>
  <si>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</si>
  <si>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</si>
  <si>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</si>
  <si>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</si>
  <si>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</si>
  <si>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</si>
  <si>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</si>
  <si>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</si>
  <si>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</si>
  <si>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</si>
  <si>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</si>
  <si>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</si>
  <si>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</si>
  <si>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</si>
  <si>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</si>
  <si>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</si>
  <si>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</si>
  <si>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</si>
  <si>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</si>
  <si>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</si>
  <si>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</si>
  <si>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</si>
  <si>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</si>
  <si>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</si>
  <si>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</si>
  <si>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</si>
  <si>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</si>
  <si>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</si>
  <si>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</si>
  <si>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</si>
  <si>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</si>
  <si>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</si>
  <si>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</si>
  <si>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</si>
  <si>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</si>
  <si>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</si>
  <si>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</si>
  <si>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</si>
  <si>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</si>
  <si>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</si>
  <si>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</si>
  <si>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</si>
  <si>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</si>
  <si>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</si>
  <si>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</si>
  <si>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</si>
  <si>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</si>
  <si>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</si>
  <si>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</si>
  <si>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</si>
  <si>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</si>
  <si>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</si>
  <si>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</si>
  <si>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</si>
  <si>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</si>
  <si>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</si>
  <si>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</si>
  <si>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</si>
  <si>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</si>
  <si>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</si>
  <si>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</si>
  <si>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</si>
  <si>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</si>
  <si>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</si>
  <si>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</si>
  <si>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</si>
  <si>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</si>
  <si>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</si>
  <si>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</si>
  <si>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</si>
  <si>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</si>
  <si>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</si>
  <si>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</si>
  <si>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</si>
  <si>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</si>
  <si>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</si>
  <si>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</si>
  <si>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</si>
  <si>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</si>
  <si>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</si>
  <si>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</si>
  <si>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</si>
  <si>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</si>
  <si>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</si>
  <si>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</si>
  <si>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</si>
  <si>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</si>
  <si>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</si>
  <si>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</si>
  <si>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</si>
  <si>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</si>
  <si>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</si>
  <si>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</si>
  <si>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</si>
  <si>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</si>
  <si>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</si>
  <si>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</si>
  <si>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</si>
  <si>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</si>
  <si>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</si>
  <si>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>100</t>
  </si>
  <si>
    <t xml:space="preserve">NORMALIZACIÓN SOLUCIONES SANITARIAS Y URBANIZACIÓN, CAIMANES, COMUNA DE LOS VILOS </t>
  </si>
  <si>
    <t>LOS VILOS</t>
  </si>
  <si>
    <t>CONSTRUCCIÓN OBRAS DE URBANIZACIÓN BÁSICA LA HIGUERA</t>
  </si>
  <si>
    <t>LA HIGUERA</t>
  </si>
  <si>
    <t>CONSTRUCCIÓN DE SOLUCIONES SANITARIAS LOCALIDAD NUEVA AURORA, OVALLE.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</si>
  <si>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</si>
  <si>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</si>
  <si>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</si>
  <si>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</si>
  <si>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</si>
  <si>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</si>
  <si>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</si>
  <si>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</si>
  <si>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</si>
  <si>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</si>
  <si>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</si>
  <si>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408</t>
  </si>
  <si>
    <t>TRANSFERENCIA CONCURSO REGIONAL DE EMPRENDIMIENTO CREE 2019</t>
  </si>
  <si>
    <t xml:space="preserve">SERVICIO DE SALUD COQUIMBO CAPACITACIÓN BECAS MÉDICOS 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</si>
  <si>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</si>
  <si>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</si>
  <si>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</si>
  <si>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</si>
  <si>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</si>
  <si>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</si>
  <si>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</si>
  <si>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</si>
  <si>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</si>
  <si>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</si>
  <si>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</si>
  <si>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</si>
  <si>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</si>
  <si>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</si>
  <si>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</si>
  <si>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</si>
  <si>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</si>
  <si>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</si>
  <si>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</si>
  <si>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</si>
  <si>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</si>
  <si>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</si>
  <si>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</si>
  <si>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</si>
  <si>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</si>
  <si>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</si>
  <si>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</si>
  <si>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</si>
  <si>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</si>
  <si>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</si>
  <si>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</si>
  <si>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</si>
  <si>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</si>
  <si>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</si>
  <si>
    <t>CONSTRUCCION ESTACION MEDICO RURAL DE COLLIGUAY COMUNA DE SALAMANCA</t>
  </si>
  <si>
    <t>TRANSFERENCIA SERVIU - ADQUISICIÓN DE TERRENOS, EN LAS COMUNAS DE: LA SERENA, VICUÑA, RÍO HURTADO, OVALLE E ILLAPEL</t>
  </si>
  <si>
    <t>TRANSFERENCIA EXPROPIACIÓN CALETA SIERRA</t>
  </si>
  <si>
    <t>PENDIENTE REEVALUACIÓN</t>
  </si>
  <si>
    <t>EJECUCIÓN - PENDIENTE EQUIPO Y EQUIPAMIENTO</t>
  </si>
  <si>
    <t>EJECUCIÓN - TRANSFERENCIA DE BIENES</t>
  </si>
  <si>
    <t>ASIGNACIÓN PRESUPUESTARIA EN TRÁMITE</t>
  </si>
  <si>
    <t>Adquisición de aeronaves remotamente equipadas y vehículo para la zona Coquimbo.</t>
  </si>
  <si>
    <t>DIPLADE - GORE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</si>
</sst>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</numFmts>
  <fonts count="63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Futura Bk BT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u/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1"/>
      <name val="Futura Bk BT"/>
      <family val="2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sz val="9"/>
      <color theme="1" tint="0.499984740745262"/>
      <name val="Futura Bk BT"/>
      <family val="2"/>
    </font>
    <font>
      <sz val="11"/>
      <color theme="1"/>
      <name val="Futura Bk BT"/>
      <family val="2"/>
    </font>
    <font>
      <b/>
      <sz val="12"/>
      <name val="Futura Bk BT"/>
      <family val="2"/>
    </font>
    <font>
      <sz val="9"/>
      <color rgb="FF000000"/>
      <name val="Futura Bk BT"/>
      <family val="2"/>
    </font>
  </fonts>
  <fills count="5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168" fontId="3" fillId="0" borderId="0"/>
    <xf numFmtId="168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14" applyNumberFormat="0" applyAlignment="0" applyProtection="0"/>
    <xf numFmtId="0" fontId="36" fillId="23" borderId="15" applyNumberFormat="0" applyAlignment="0" applyProtection="0"/>
    <xf numFmtId="0" fontId="37" fillId="23" borderId="14" applyNumberFormat="0" applyAlignment="0" applyProtection="0"/>
    <xf numFmtId="0" fontId="38" fillId="0" borderId="16" applyNumberFormat="0" applyFill="0" applyAlignment="0" applyProtection="0"/>
    <xf numFmtId="0" fontId="39" fillId="24" borderId="17" applyNumberFormat="0" applyAlignment="0" applyProtection="0"/>
    <xf numFmtId="0" fontId="40" fillId="0" borderId="0" applyNumberFormat="0" applyFill="0" applyBorder="0" applyAlignment="0" applyProtection="0"/>
    <xf numFmtId="0" fontId="10" fillId="25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3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3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3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43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43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45" fillId="0" borderId="0"/>
    <xf numFmtId="0" fontId="3" fillId="25" borderId="18" applyNumberFormat="0" applyFont="0" applyAlignment="0" applyProtection="0"/>
    <xf numFmtId="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366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169" fontId="14" fillId="0" borderId="1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169" fontId="16" fillId="0" borderId="8" xfId="0" applyNumberFormat="1" applyFont="1" applyBorder="1" applyAlignment="1">
      <alignment vertical="center" wrapText="1"/>
    </xf>
    <xf numFmtId="9" fontId="16" fillId="0" borderId="1" xfId="0" applyNumberFormat="1" applyFont="1" applyBorder="1" applyAlignment="1">
      <alignment vertical="center" wrapText="1"/>
    </xf>
    <xf numFmtId="169" fontId="16" fillId="0" borderId="0" xfId="0" applyNumberFormat="1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169" fontId="16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3" fontId="16" fillId="10" borderId="6" xfId="0" applyNumberFormat="1" applyFont="1" applyFill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vertical="center" wrapText="1"/>
    </xf>
    <xf numFmtId="169" fontId="14" fillId="9" borderId="6" xfId="0" applyNumberFormat="1" applyFont="1" applyFill="1" applyBorder="1" applyAlignment="1">
      <alignment vertical="center" wrapText="1"/>
    </xf>
    <xf numFmtId="3" fontId="14" fillId="9" borderId="5" xfId="0" applyNumberFormat="1" applyFont="1" applyFill="1" applyBorder="1" applyAlignment="1">
      <alignment horizontal="right" vertical="center" wrapText="1"/>
    </xf>
    <xf numFmtId="3" fontId="14" fillId="9" borderId="6" xfId="0" applyNumberFormat="1" applyFont="1" applyFill="1" applyBorder="1" applyAlignment="1">
      <alignment vertical="center" wrapText="1"/>
    </xf>
    <xf numFmtId="169" fontId="14" fillId="8" borderId="1" xfId="0" applyNumberFormat="1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169" fontId="14" fillId="9" borderId="2" xfId="0" applyNumberFormat="1" applyFont="1" applyFill="1" applyBorder="1" applyAlignment="1">
      <alignment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170" fontId="16" fillId="0" borderId="1" xfId="0" applyNumberFormat="1" applyFont="1" applyBorder="1" applyAlignment="1">
      <alignment horizontal="right" vertical="center" wrapText="1"/>
    </xf>
    <xf numFmtId="169" fontId="16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4" fillId="9" borderId="1" xfId="0" applyNumberFormat="1" applyFont="1" applyFill="1" applyBorder="1" applyAlignment="1">
      <alignment horizontal="right" vertical="center" wrapText="1"/>
    </xf>
    <xf numFmtId="169" fontId="18" fillId="10" borderId="1" xfId="0" applyNumberFormat="1" applyFont="1" applyFill="1" applyBorder="1" applyAlignment="1">
      <alignment vertical="center" wrapText="1"/>
    </xf>
    <xf numFmtId="3" fontId="18" fillId="10" borderId="1" xfId="0" applyNumberFormat="1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vertical="center" wrapText="1"/>
    </xf>
    <xf numFmtId="14" fontId="19" fillId="0" borderId="0" xfId="0" applyNumberFormat="1" applyFont="1" applyAlignment="1">
      <alignment vertical="center"/>
    </xf>
    <xf numFmtId="169" fontId="16" fillId="0" borderId="0" xfId="0" applyNumberFormat="1" applyFont="1" applyAlignment="1">
      <alignment horizontal="right" vertical="center" wrapText="1"/>
    </xf>
    <xf numFmtId="0" fontId="20" fillId="9" borderId="1" xfId="0" applyFont="1" applyFill="1" applyBorder="1" applyAlignment="1">
      <alignment horizontal="left" vertical="center"/>
    </xf>
    <xf numFmtId="169" fontId="14" fillId="9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/>
    </xf>
    <xf numFmtId="169" fontId="14" fillId="4" borderId="1" xfId="0" applyNumberFormat="1" applyFont="1" applyFill="1" applyBorder="1" applyAlignment="1">
      <alignment vertical="center" wrapText="1"/>
    </xf>
    <xf numFmtId="169" fontId="14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vertical="center" wrapText="1"/>
    </xf>
    <xf numFmtId="0" fontId="18" fillId="4" borderId="1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3" fontId="18" fillId="4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14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8" fillId="9" borderId="1" xfId="0" applyNumberFormat="1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8" fillId="7" borderId="1" xfId="0" applyNumberFormat="1" applyFont="1" applyFill="1" applyBorder="1" applyAlignment="1">
      <alignment vertical="center" wrapText="1"/>
    </xf>
    <xf numFmtId="0" fontId="18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8" fillId="14" borderId="1" xfId="0" applyNumberFormat="1" applyFont="1" applyFill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3" fontId="15" fillId="10" borderId="1" xfId="0" applyNumberFormat="1" applyFont="1" applyFill="1" applyBorder="1" applyAlignment="1">
      <alignment vertical="center" wrapText="1"/>
    </xf>
    <xf numFmtId="3" fontId="15" fillId="6" borderId="1" xfId="0" applyNumberFormat="1" applyFont="1" applyFill="1" applyBorder="1" applyAlignment="1">
      <alignment vertical="center" wrapText="1"/>
    </xf>
    <xf numFmtId="3" fontId="15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3" fontId="14" fillId="11" borderId="1" xfId="0" applyNumberFormat="1" applyFont="1" applyFill="1" applyBorder="1" applyAlignment="1">
      <alignment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left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5" fillId="10" borderId="2" xfId="0" applyNumberFormat="1" applyFont="1" applyFill="1" applyBorder="1" applyAlignment="1">
      <alignment vertical="center" wrapText="1"/>
    </xf>
    <xf numFmtId="3" fontId="15" fillId="6" borderId="2" xfId="0" applyNumberFormat="1" applyFont="1" applyFill="1" applyBorder="1" applyAlignment="1">
      <alignment vertical="center" wrapText="1"/>
    </xf>
    <xf numFmtId="3" fontId="15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4" fillId="8" borderId="5" xfId="0" quotePrefix="1" applyFont="1" applyFill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49" fontId="14" fillId="8" borderId="8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49" fontId="14" fillId="9" borderId="5" xfId="0" applyNumberFormat="1" applyFont="1" applyFill="1" applyBorder="1" applyAlignment="1">
      <alignment horizontal="center" vertical="center" wrapText="1"/>
    </xf>
    <xf numFmtId="17" fontId="29" fillId="4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1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9" fontId="15" fillId="0" borderId="0" xfId="0" applyNumberFormat="1" applyFont="1" applyAlignment="1">
      <alignment vertical="center" wrapText="1"/>
    </xf>
    <xf numFmtId="3" fontId="15" fillId="16" borderId="1" xfId="0" applyNumberFormat="1" applyFont="1" applyFill="1" applyBorder="1" applyAlignment="1">
      <alignment vertical="center" wrapText="1"/>
    </xf>
    <xf numFmtId="3" fontId="48" fillId="6" borderId="1" xfId="0" applyNumberFormat="1" applyFont="1" applyFill="1" applyBorder="1" applyAlignment="1">
      <alignment vertical="center" wrapText="1"/>
    </xf>
    <xf numFmtId="49" fontId="1" fillId="16" borderId="1" xfId="0" applyNumberFormat="1" applyFont="1" applyFill="1" applyBorder="1" applyAlignment="1">
      <alignment horizontal="left" vertical="center" wrapText="1"/>
    </xf>
    <xf numFmtId="3" fontId="1" fillId="16" borderId="1" xfId="0" applyNumberFormat="1" applyFont="1" applyFill="1" applyBorder="1" applyAlignment="1">
      <alignment vertical="center" wrapText="1"/>
    </xf>
    <xf numFmtId="9" fontId="1" fillId="0" borderId="1" xfId="0" applyNumberFormat="1" applyFont="1" applyBorder="1" applyAlignment="1">
      <alignment horizontal="left" vertical="center" wrapText="1"/>
    </xf>
    <xf numFmtId="175" fontId="1" fillId="6" borderId="1" xfId="0" applyNumberFormat="1" applyFont="1" applyFill="1" applyBorder="1" applyAlignment="1">
      <alignment vertical="center" wrapText="1"/>
    </xf>
    <xf numFmtId="3" fontId="16" fillId="0" borderId="5" xfId="0" quotePrefix="1" applyNumberFormat="1" applyFont="1" applyBorder="1" applyAlignment="1">
      <alignment horizontal="right" vertical="center" wrapText="1"/>
    </xf>
    <xf numFmtId="49" fontId="15" fillId="0" borderId="0" xfId="0" applyNumberFormat="1" applyFont="1" applyAlignment="1">
      <alignment horizontal="right" vertical="center" wrapText="1"/>
    </xf>
    <xf numFmtId="3" fontId="1" fillId="16" borderId="2" xfId="0" applyNumberFormat="1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48" fillId="6" borderId="1" xfId="0" applyNumberFormat="1" applyFont="1" applyFill="1" applyBorder="1" applyAlignment="1">
      <alignment vertical="center" wrapText="1"/>
    </xf>
    <xf numFmtId="176" fontId="1" fillId="6" borderId="1" xfId="0" applyNumberFormat="1" applyFont="1" applyFill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" fontId="1" fillId="6" borderId="1" xfId="0" applyNumberFormat="1" applyFont="1" applyFill="1" applyBorder="1" applyAlignment="1">
      <alignment vertical="center" wrapText="1"/>
    </xf>
    <xf numFmtId="1" fontId="48" fillId="6" borderId="1" xfId="0" applyNumberFormat="1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vertical="center" wrapText="1"/>
    </xf>
    <xf numFmtId="3" fontId="1" fillId="6" borderId="21" xfId="0" applyNumberFormat="1" applyFont="1" applyFill="1" applyBorder="1" applyAlignment="1">
      <alignment vertical="center" wrapText="1"/>
    </xf>
    <xf numFmtId="169" fontId="14" fillId="0" borderId="8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3" fontId="1" fillId="6" borderId="1" xfId="0" applyNumberFormat="1" applyFont="1" applyFill="1" applyBorder="1" applyAlignment="1">
      <alignment horizontal="right" vertical="center" wrapText="1"/>
    </xf>
    <xf numFmtId="3" fontId="15" fillId="0" borderId="1" xfId="59" applyNumberFormat="1" applyFont="1" applyBorder="1" applyAlignment="1">
      <alignment vertical="center" wrapText="1"/>
    </xf>
    <xf numFmtId="175" fontId="9" fillId="0" borderId="0" xfId="0" applyNumberFormat="1" applyFont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3" fontId="1" fillId="6" borderId="1" xfId="59" applyNumberFormat="1" applyFont="1" applyFill="1" applyBorder="1" applyAlignment="1">
      <alignment vertical="center" wrapText="1"/>
    </xf>
    <xf numFmtId="169" fontId="16" fillId="10" borderId="6" xfId="0" applyNumberFormat="1" applyFont="1" applyFill="1" applyBorder="1" applyAlignment="1">
      <alignment vertical="center" wrapText="1"/>
    </xf>
    <xf numFmtId="169" fontId="16" fillId="10" borderId="5" xfId="0" applyNumberFormat="1" applyFont="1" applyFill="1" applyBorder="1" applyAlignment="1">
      <alignment horizontal="center" vertical="center" wrapText="1"/>
    </xf>
    <xf numFmtId="169" fontId="14" fillId="9" borderId="5" xfId="0" applyNumberFormat="1" applyFont="1" applyFill="1" applyBorder="1" applyAlignment="1">
      <alignment horizontal="right" vertical="center" wrapText="1"/>
    </xf>
    <xf numFmtId="169" fontId="14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51" fillId="16" borderId="1" xfId="0" applyFont="1" applyFill="1" applyBorder="1" applyAlignment="1">
      <alignment vertical="center" wrapText="1"/>
    </xf>
    <xf numFmtId="0" fontId="51" fillId="16" borderId="1" xfId="0" applyFont="1" applyFill="1" applyBorder="1" applyAlignment="1">
      <alignment vertical="center"/>
    </xf>
    <xf numFmtId="0" fontId="54" fillId="16" borderId="1" xfId="0" applyFont="1" applyFill="1" applyBorder="1" applyAlignment="1">
      <alignment wrapText="1"/>
    </xf>
    <xf numFmtId="0" fontId="52" fillId="16" borderId="1" xfId="0" applyFont="1" applyFill="1" applyBorder="1" applyAlignment="1">
      <alignment wrapText="1"/>
    </xf>
    <xf numFmtId="0" fontId="51" fillId="16" borderId="0" xfId="0" applyFont="1" applyFill="1" applyAlignment="1">
      <alignment vertical="center"/>
    </xf>
    <xf numFmtId="0" fontId="51" fillId="16" borderId="1" xfId="0" applyFont="1" applyFill="1" applyBorder="1" applyAlignment="1">
      <alignment wrapText="1"/>
    </xf>
    <xf numFmtId="0" fontId="54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 wrapText="1"/>
    </xf>
    <xf numFmtId="0" fontId="53" fillId="16" borderId="10" xfId="0" applyFont="1" applyFill="1" applyBorder="1" applyAlignment="1">
      <alignment horizontal="left" vertical="center" wrapText="1" indent="1"/>
    </xf>
    <xf numFmtId="0" fontId="51" fillId="16" borderId="0" xfId="0" applyFont="1" applyFill="1" applyAlignment="1">
      <alignment vertical="center" wrapText="1"/>
    </xf>
    <xf numFmtId="0" fontId="51" fillId="16" borderId="10" xfId="0" applyFont="1" applyFill="1" applyBorder="1" applyAlignment="1">
      <alignment vertical="center"/>
    </xf>
    <xf numFmtId="0" fontId="51" fillId="16" borderId="24" xfId="0" applyFont="1" applyFill="1" applyBorder="1" applyAlignment="1">
      <alignment vertical="center"/>
    </xf>
    <xf numFmtId="0" fontId="54" fillId="16" borderId="20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3" fillId="16" borderId="1" xfId="129" applyFont="1" applyFill="1" applyBorder="1" applyAlignment="1">
      <alignment vertical="center"/>
    </xf>
    <xf numFmtId="0" fontId="53" fillId="16" borderId="1" xfId="0" applyFont="1" applyFill="1" applyBorder="1" applyAlignment="1">
      <alignment vertical="center" wrapText="1"/>
    </xf>
    <xf numFmtId="49" fontId="52" fillId="16" borderId="10" xfId="0" applyNumberFormat="1" applyFont="1" applyFill="1" applyBorder="1" applyAlignment="1">
      <alignment vertical="center" wrapText="1"/>
    </xf>
    <xf numFmtId="0" fontId="52" fillId="16" borderId="10" xfId="0" applyFont="1" applyFill="1" applyBorder="1" applyAlignment="1">
      <alignment vertical="center" wrapText="1"/>
    </xf>
    <xf numFmtId="0" fontId="53" fillId="16" borderId="1" xfId="0" applyFont="1" applyFill="1" applyBorder="1" applyAlignment="1">
      <alignment wrapText="1"/>
    </xf>
    <xf numFmtId="0" fontId="52" fillId="16" borderId="1" xfId="0" applyFont="1" applyFill="1" applyBorder="1"/>
    <xf numFmtId="0" fontId="52" fillId="16" borderId="10" xfId="0" applyFont="1" applyFill="1" applyBorder="1" applyAlignment="1">
      <alignment horizontal="left" vertical="center" wrapText="1" indent="1"/>
    </xf>
    <xf numFmtId="0" fontId="52" fillId="16" borderId="3" xfId="0" applyFont="1" applyFill="1" applyBorder="1" applyAlignment="1">
      <alignment vertical="center" wrapText="1"/>
    </xf>
    <xf numFmtId="0" fontId="55" fillId="16" borderId="1" xfId="0" applyFont="1" applyFill="1" applyBorder="1" applyAlignment="1">
      <alignment wrapText="1"/>
    </xf>
    <xf numFmtId="0" fontId="52" fillId="16" borderId="20" xfId="0" applyFont="1" applyFill="1" applyBorder="1" applyAlignment="1">
      <alignment wrapText="1"/>
    </xf>
    <xf numFmtId="0" fontId="52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vertical="center"/>
    </xf>
    <xf numFmtId="0" fontId="56" fillId="16" borderId="1" xfId="46" applyFont="1" applyFill="1" applyBorder="1" applyAlignment="1">
      <alignment wrapText="1"/>
    </xf>
    <xf numFmtId="0" fontId="56" fillId="16" borderId="20" xfId="46" applyFont="1" applyFill="1" applyBorder="1" applyAlignment="1">
      <alignment wrapText="1"/>
    </xf>
    <xf numFmtId="3" fontId="57" fillId="16" borderId="1" xfId="46" applyNumberFormat="1" applyFont="1" applyFill="1" applyBorder="1" applyAlignment="1">
      <alignment wrapText="1"/>
    </xf>
    <xf numFmtId="0" fontId="55" fillId="16" borderId="1" xfId="0" applyFont="1" applyFill="1" applyBorder="1"/>
    <xf numFmtId="0" fontId="58" fillId="50" borderId="1" xfId="0" applyFont="1" applyFill="1" applyBorder="1" applyAlignment="1">
      <alignment horizontal="center" vertical="center" wrapText="1"/>
    </xf>
    <xf numFmtId="3" fontId="58" fillId="50" borderId="1" xfId="0" applyNumberFormat="1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 wrapText="1"/>
    </xf>
    <xf numFmtId="49" fontId="27" fillId="16" borderId="1" xfId="0" applyNumberFormat="1" applyFont="1" applyFill="1" applyBorder="1" applyAlignment="1">
      <alignment horizontal="center" vertical="center" wrapText="1"/>
    </xf>
    <xf numFmtId="49" fontId="27" fillId="16" borderId="1" xfId="0" quotePrefix="1" applyNumberFormat="1" applyFont="1" applyFill="1" applyBorder="1" applyAlignment="1">
      <alignment horizontal="center" vertical="center" wrapText="1"/>
    </xf>
    <xf numFmtId="3" fontId="27" fillId="16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vertical="center"/>
    </xf>
    <xf numFmtId="1" fontId="27" fillId="16" borderId="1" xfId="0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justify" vertical="center" wrapText="1"/>
    </xf>
    <xf numFmtId="0" fontId="27" fillId="16" borderId="8" xfId="0" applyFont="1" applyFill="1" applyBorder="1" applyAlignment="1">
      <alignment horizontal="center" vertical="center" wrapText="1"/>
    </xf>
    <xf numFmtId="3" fontId="48" fillId="6" borderId="10" xfId="0" applyNumberFormat="1" applyFont="1" applyFill="1" applyBorder="1" applyAlignment="1">
      <alignment vertical="center" wrapText="1"/>
    </xf>
    <xf numFmtId="3" fontId="48" fillId="0" borderId="1" xfId="0" applyNumberFormat="1" applyFont="1" applyBorder="1" applyAlignment="1">
      <alignment vertical="center" wrapText="1"/>
    </xf>
    <xf numFmtId="9" fontId="16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4" fillId="9" borderId="1" xfId="128" applyFont="1" applyFill="1" applyBorder="1" applyAlignment="1">
      <alignment vertical="center" wrapText="1"/>
    </xf>
    <xf numFmtId="41" fontId="1" fillId="6" borderId="1" xfId="129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" fontId="59" fillId="0" borderId="0" xfId="0" applyNumberFormat="1" applyFont="1" applyAlignment="1">
      <alignment vertical="center" wrapText="1"/>
    </xf>
    <xf numFmtId="3" fontId="59" fillId="0" borderId="0" xfId="0" applyNumberFormat="1" applyFont="1" applyAlignment="1">
      <alignment horizontal="center" vertical="center" wrapText="1"/>
    </xf>
    <xf numFmtId="1" fontId="59" fillId="0" borderId="0" xfId="0" applyNumberFormat="1" applyFont="1" applyAlignment="1">
      <alignment horizontal="center" vertical="center" wrapText="1"/>
    </xf>
    <xf numFmtId="3" fontId="59" fillId="16" borderId="0" xfId="0" applyNumberFormat="1" applyFont="1" applyFill="1" applyAlignment="1">
      <alignment horizontal="center" vertical="center" wrapText="1"/>
    </xf>
    <xf numFmtId="177" fontId="0" fillId="16" borderId="1" xfId="0" applyNumberFormat="1" applyFill="1" applyBorder="1" applyAlignment="1">
      <alignment horizontal="center" vertical="center"/>
    </xf>
    <xf numFmtId="9" fontId="50" fillId="12" borderId="1" xfId="0" applyNumberFormat="1" applyFont="1" applyFill="1" applyBorder="1" applyAlignment="1">
      <alignment horizontal="right" vertical="center" wrapText="1"/>
    </xf>
    <xf numFmtId="9" fontId="50" fillId="9" borderId="1" xfId="0" applyNumberFormat="1" applyFont="1" applyFill="1" applyBorder="1" applyAlignment="1">
      <alignment horizontal="right" vertical="center" wrapText="1"/>
    </xf>
    <xf numFmtId="9" fontId="49" fillId="9" borderId="1" xfId="128" applyFont="1" applyFill="1" applyBorder="1" applyAlignment="1">
      <alignment horizontal="right" vertical="center" wrapText="1"/>
    </xf>
    <xf numFmtId="41" fontId="16" fillId="0" borderId="1" xfId="129" applyFont="1" applyFill="1" applyBorder="1" applyAlignment="1">
      <alignment horizontal="center" vertical="center" wrapText="1"/>
    </xf>
    <xf numFmtId="41" fontId="16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3" fontId="48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wrapText="1"/>
    </xf>
    <xf numFmtId="176" fontId="1" fillId="6" borderId="1" xfId="0" applyNumberFormat="1" applyFont="1" applyFill="1" applyBorder="1" applyAlignment="1">
      <alignment wrapText="1"/>
    </xf>
    <xf numFmtId="3" fontId="52" fillId="6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top" wrapText="1"/>
    </xf>
    <xf numFmtId="3" fontId="1" fillId="16" borderId="1" xfId="0" applyNumberFormat="1" applyFont="1" applyFill="1" applyBorder="1" applyAlignment="1">
      <alignment vertical="top" wrapText="1"/>
    </xf>
    <xf numFmtId="9" fontId="1" fillId="0" borderId="8" xfId="0" applyNumberFormat="1" applyFont="1" applyBorder="1" applyAlignment="1">
      <alignment horizontal="left" vertical="center" wrapText="1"/>
    </xf>
    <xf numFmtId="170" fontId="15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/>
    <xf numFmtId="0" fontId="17" fillId="0" borderId="0" xfId="0" applyFont="1" applyAlignment="1">
      <alignment vertical="center" wrapText="1"/>
    </xf>
    <xf numFmtId="9" fontId="1" fillId="0" borderId="10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left" vertical="center" wrapText="1"/>
    </xf>
    <xf numFmtId="175" fontId="15" fillId="0" borderId="1" xfId="59" applyNumberFormat="1" applyFont="1" applyBorder="1" applyAlignment="1">
      <alignment vertical="center" wrapText="1"/>
    </xf>
    <xf numFmtId="175" fontId="1" fillId="6" borderId="3" xfId="0" applyNumberFormat="1" applyFont="1" applyFill="1" applyBorder="1" applyAlignment="1">
      <alignment vertical="center" wrapText="1"/>
    </xf>
    <xf numFmtId="1" fontId="1" fillId="0" borderId="8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3" fontId="1" fillId="16" borderId="10" xfId="0" applyNumberFormat="1" applyFont="1" applyFill="1" applyBorder="1" applyAlignment="1">
      <alignment vertical="center" wrapText="1"/>
    </xf>
    <xf numFmtId="176" fontId="1" fillId="6" borderId="10" xfId="0" applyNumberFormat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horizontal="left" vertical="center" wrapText="1"/>
    </xf>
    <xf numFmtId="3" fontId="1" fillId="16" borderId="10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wrapText="1"/>
    </xf>
    <xf numFmtId="0" fontId="48" fillId="0" borderId="2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" fontId="48" fillId="0" borderId="3" xfId="0" applyNumberFormat="1" applyFont="1" applyBorder="1" applyAlignment="1">
      <alignment horizontal="center" vertical="center" wrapText="1"/>
    </xf>
    <xf numFmtId="1" fontId="48" fillId="16" borderId="3" xfId="0" applyNumberFormat="1" applyFont="1" applyFill="1" applyBorder="1" applyAlignment="1">
      <alignment horizontal="center" vertical="center" wrapText="1"/>
    </xf>
    <xf numFmtId="0" fontId="48" fillId="16" borderId="3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top" wrapText="1"/>
    </xf>
    <xf numFmtId="3" fontId="1" fillId="0" borderId="6" xfId="0" applyNumberFormat="1" applyFont="1" applyBorder="1" applyAlignment="1">
      <alignment vertical="center" wrapText="1"/>
    </xf>
    <xf numFmtId="175" fontId="1" fillId="6" borderId="10" xfId="0" applyNumberFormat="1" applyFont="1" applyFill="1" applyBorder="1" applyAlignment="1">
      <alignment vertical="center" wrapText="1"/>
    </xf>
    <xf numFmtId="175" fontId="1" fillId="6" borderId="9" xfId="0" applyNumberFormat="1" applyFont="1" applyFill="1" applyBorder="1" applyAlignment="1">
      <alignment vertical="center" wrapText="1"/>
    </xf>
    <xf numFmtId="0" fontId="48" fillId="52" borderId="1" xfId="0" applyFont="1" applyFill="1" applyBorder="1" applyAlignment="1">
      <alignment horizontal="center" vertical="center" wrapText="1"/>
    </xf>
    <xf numFmtId="0" fontId="48" fillId="16" borderId="1" xfId="0" applyFont="1" applyFill="1" applyBorder="1" applyAlignment="1">
      <alignment horizontal="center" vertical="center" wrapText="1"/>
    </xf>
    <xf numFmtId="1" fontId="48" fillId="16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6" borderId="10" xfId="0" applyNumberFormat="1" applyFont="1" applyFill="1" applyBorder="1" applyAlignment="1">
      <alignment vertical="center" wrapText="1"/>
    </xf>
    <xf numFmtId="3" fontId="1" fillId="6" borderId="10" xfId="59" applyNumberFormat="1" applyFont="1" applyFill="1" applyBorder="1" applyAlignment="1">
      <alignment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3" fontId="60" fillId="15" borderId="1" xfId="0" applyNumberFormat="1" applyFont="1" applyFill="1" applyBorder="1" applyAlignment="1">
      <alignment vertical="center" wrapText="1"/>
    </xf>
    <xf numFmtId="17" fontId="61" fillId="11" borderId="25" xfId="1" applyNumberFormat="1" applyFont="1" applyFill="1" applyBorder="1" applyAlignment="1">
      <alignment horizontal="center" vertical="center" wrapText="1"/>
    </xf>
    <xf numFmtId="1" fontId="48" fillId="0" borderId="21" xfId="0" applyNumberFormat="1" applyFont="1" applyBorder="1" applyAlignment="1">
      <alignment horizontal="center" vertical="center" wrapText="1"/>
    </xf>
    <xf numFmtId="3" fontId="60" fillId="6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top"/>
    </xf>
    <xf numFmtId="0" fontId="1" fillId="0" borderId="1" xfId="0" quotePrefix="1" applyFont="1" applyBorder="1" applyAlignment="1">
      <alignment horizontal="center" vertical="center" wrapText="1"/>
    </xf>
    <xf numFmtId="1" fontId="1" fillId="16" borderId="1" xfId="0" quotePrefix="1" applyNumberFormat="1" applyFont="1" applyFill="1" applyBorder="1" applyAlignment="1">
      <alignment horizontal="center" vertical="center" wrapText="1"/>
    </xf>
    <xf numFmtId="3" fontId="53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48" fillId="6" borderId="4" xfId="0" applyNumberFormat="1" applyFont="1" applyFill="1" applyBorder="1" applyAlignment="1">
      <alignment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left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8" fillId="6" borderId="2" xfId="0" applyNumberFormat="1" applyFont="1" applyFill="1" applyBorder="1" applyAlignment="1">
      <alignment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61" fillId="11" borderId="1" xfId="1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1" fillId="6" borderId="8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78" fontId="14" fillId="9" borderId="6" xfId="0" applyNumberFormat="1" applyFont="1" applyFill="1" applyBorder="1" applyAlignment="1">
      <alignment vertical="center" wrapText="1"/>
    </xf>
    <xf numFmtId="178" fontId="16" fillId="10" borderId="6" xfId="0" applyNumberFormat="1" applyFont="1" applyFill="1" applyBorder="1" applyAlignment="1">
      <alignment vertical="center" wrapText="1"/>
    </xf>
    <xf numFmtId="178" fontId="14" fillId="9" borderId="5" xfId="0" applyNumberFormat="1" applyFont="1" applyFill="1" applyBorder="1" applyAlignment="1">
      <alignment horizontal="right" vertical="center" wrapText="1"/>
    </xf>
    <xf numFmtId="178" fontId="16" fillId="10" borderId="5" xfId="0" applyNumberFormat="1" applyFont="1" applyFill="1" applyBorder="1" applyAlignment="1">
      <alignment horizontal="center" vertical="center" wrapText="1"/>
    </xf>
    <xf numFmtId="1" fontId="59" fillId="0" borderId="0" xfId="0" applyNumberFormat="1" applyFont="1" applyAlignment="1">
      <alignment horizontal="left" wrapText="1"/>
    </xf>
    <xf numFmtId="3" fontId="1" fillId="16" borderId="0" xfId="0" applyNumberFormat="1" applyFont="1" applyFill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48" fillId="0" borderId="8" xfId="0" applyFont="1" applyBorder="1" applyAlignment="1">
      <alignment horizontal="center" vertical="center" wrapText="1"/>
    </xf>
    <xf numFmtId="0" fontId="62" fillId="0" borderId="8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17" fontId="18" fillId="0" borderId="20" xfId="0" applyNumberFormat="1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 RESUMEN'!$G$62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2.529754881921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D-47D9-8359-CE58A2947E41}"/>
                </c:ext>
              </c:extLst>
            </c:dLbl>
            <c:dLbl>
              <c:idx val="5"/>
              <c:layout>
                <c:manualLayout>
                  <c:x val="0"/>
                  <c:y val="-1.362175705649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9-4D15-8689-45055E03F2B0}"/>
                </c:ext>
              </c:extLst>
            </c:dLbl>
            <c:dLbl>
              <c:idx val="6"/>
              <c:layout>
                <c:manualLayout>
                  <c:x val="-1.6559475573144874E-3"/>
                  <c:y val="6.616281998871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D-47D9-8359-CE58A2947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4999665.7010000004</c:v>
                </c:pt>
                <c:pt idx="3">
                  <c:v>2992901.7779999999</c:v>
                </c:pt>
                <c:pt idx="4">
                  <c:v>2891727.4080000003</c:v>
                </c:pt>
                <c:pt idx="5">
                  <c:v>1609992.358</c:v>
                </c:pt>
                <c:pt idx="6">
                  <c:v>1830835.9330000002</c:v>
                </c:pt>
                <c:pt idx="7">
                  <c:v>873284.09</c:v>
                </c:pt>
                <c:pt idx="8">
                  <c:v>1348368.2440000002</c:v>
                </c:pt>
                <c:pt idx="9">
                  <c:v>481480.94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'2024 RESUMEN'!$G$63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RESUMEN'!$H$63:$S$63</c:f>
              <c:numCache>
                <c:formatCode>#,##0</c:formatCode>
                <c:ptCount val="12"/>
                <c:pt idx="0">
                  <c:v>0</c:v>
                </c:pt>
                <c:pt idx="1">
                  <c:v>193970</c:v>
                </c:pt>
                <c:pt idx="2">
                  <c:v>679146.09</c:v>
                </c:pt>
                <c:pt idx="3">
                  <c:v>24990</c:v>
                </c:pt>
                <c:pt idx="4">
                  <c:v>166468.43</c:v>
                </c:pt>
                <c:pt idx="5">
                  <c:v>90000</c:v>
                </c:pt>
                <c:pt idx="6">
                  <c:v>357797.56800000003</c:v>
                </c:pt>
                <c:pt idx="7">
                  <c:v>0</c:v>
                </c:pt>
                <c:pt idx="8">
                  <c:v>1206124.0859999999</c:v>
                </c:pt>
                <c:pt idx="9">
                  <c:v>230146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'2024 RESUMEN'!$G$64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RESUMEN'!$H$64:$S$64</c:f>
              <c:numCache>
                <c:formatCode>#,##0;\(#,##0\)</c:formatCode>
                <c:ptCount val="12"/>
                <c:pt idx="0">
                  <c:v>0</c:v>
                </c:pt>
                <c:pt idx="1">
                  <c:v>245416.02499999999</c:v>
                </c:pt>
                <c:pt idx="2">
                  <c:v>354393.63500000001</c:v>
                </c:pt>
                <c:pt idx="3">
                  <c:v>481006.31799999997</c:v>
                </c:pt>
                <c:pt idx="4">
                  <c:v>234818.652</c:v>
                </c:pt>
                <c:pt idx="5">
                  <c:v>330547.56599999999</c:v>
                </c:pt>
                <c:pt idx="6">
                  <c:v>585396.4182999999</c:v>
                </c:pt>
                <c:pt idx="7">
                  <c:v>742741.82</c:v>
                </c:pt>
                <c:pt idx="8">
                  <c:v>473520.75699999998</c:v>
                </c:pt>
                <c:pt idx="9">
                  <c:v>713061.46899999981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'2024 RESUMEN'!$G$66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RESUMEN'!$H$66:$S$66</c:f>
              <c:numCache>
                <c:formatCode>#,##0</c:formatCode>
                <c:ptCount val="12"/>
                <c:pt idx="0">
                  <c:v>0</c:v>
                </c:pt>
                <c:pt idx="1">
                  <c:v>422300</c:v>
                </c:pt>
                <c:pt idx="2">
                  <c:v>0</c:v>
                </c:pt>
                <c:pt idx="3">
                  <c:v>4065.5790000000002</c:v>
                </c:pt>
                <c:pt idx="4">
                  <c:v>5423.9129999999996</c:v>
                </c:pt>
                <c:pt idx="5">
                  <c:v>13739.821</c:v>
                </c:pt>
                <c:pt idx="6">
                  <c:v>233300.052</c:v>
                </c:pt>
                <c:pt idx="7">
                  <c:v>1518521.763</c:v>
                </c:pt>
                <c:pt idx="8">
                  <c:v>441683.804</c:v>
                </c:pt>
                <c:pt idx="9">
                  <c:v>582246.66700000002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'2024 RESUMEN'!$G$67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RESUMEN'!$H$67:$S$67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41662</c:v>
                </c:pt>
                <c:pt idx="7">
                  <c:v>0</c:v>
                </c:pt>
                <c:pt idx="8">
                  <c:v>41662</c:v>
                </c:pt>
                <c:pt idx="9">
                  <c:v>52077.5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024042427003192E-2"/>
          <c:y val="0.87668013365862962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RESUMEN'!$D$111:$D$127</c:f>
              <c:strCache>
                <c:ptCount val="17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  <c:pt idx="12">
                  <c:v>2020.</c:v>
                </c:pt>
                <c:pt idx="13">
                  <c:v>2021.</c:v>
                </c:pt>
                <c:pt idx="14">
                  <c:v>2022.</c:v>
                </c:pt>
                <c:pt idx="15">
                  <c:v>2023.</c:v>
                </c:pt>
                <c:pt idx="16">
                  <c:v>2024.</c:v>
                </c:pt>
              </c:strCache>
            </c:strRef>
          </c:cat>
          <c:val>
            <c:numRef>
              <c:f>'2024 RESUMEN'!$F$111:$F$127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2172744.1140000001</c:v>
                </c:pt>
                <c:pt idx="4">
                  <c:v>14651.118999999999</c:v>
                </c:pt>
                <c:pt idx="5">
                  <c:v>0</c:v>
                </c:pt>
                <c:pt idx="6">
                  <c:v>106012.49400000001</c:v>
                </c:pt>
                <c:pt idx="7">
                  <c:v>0</c:v>
                </c:pt>
                <c:pt idx="8">
                  <c:v>1789475.0619999999</c:v>
                </c:pt>
                <c:pt idx="9">
                  <c:v>1586794.12</c:v>
                </c:pt>
                <c:pt idx="10">
                  <c:v>2993665.2609999999</c:v>
                </c:pt>
                <c:pt idx="11">
                  <c:v>6514879.8530000001</c:v>
                </c:pt>
                <c:pt idx="12">
                  <c:v>1333562.8949999998</c:v>
                </c:pt>
                <c:pt idx="13">
                  <c:v>6119350.3483000007</c:v>
                </c:pt>
                <c:pt idx="14">
                  <c:v>1475805.2050000003</c:v>
                </c:pt>
                <c:pt idx="15">
                  <c:v>2558495.98</c:v>
                </c:pt>
                <c:pt idx="16">
                  <c:v>887338.78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del Gasto Pptario. FNDR 2024</a:t>
            </a:r>
          </a:p>
        </c:rich>
      </c:tx>
      <c:layout>
        <c:manualLayout>
          <c:xMode val="edge"/>
          <c:yMode val="edge"/>
          <c:x val="0.12765450419696422"/>
          <c:y val="3.0444235851392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RESUMEN'!$R$111:$R$114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'2024 RESUMEN'!$S$111:$S$114</c:f>
              <c:numCache>
                <c:formatCode>#,##0</c:formatCode>
                <c:ptCount val="4"/>
                <c:pt idx="0">
                  <c:v>3651853.5389999999</c:v>
                </c:pt>
                <c:pt idx="1">
                  <c:v>8547449.7939999998</c:v>
                </c:pt>
                <c:pt idx="2">
                  <c:v>10884513.543000001</c:v>
                </c:pt>
                <c:pt idx="3">
                  <c:v>4468958.3552999999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3423464688"/>
          <c:y val="0.4544461687300916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2</xdr:row>
      <xdr:rowOff>23812</xdr:rowOff>
    </xdr:from>
    <xdr:to>
      <xdr:col>31</xdr:col>
      <xdr:colOff>702469</xdr:colOff>
      <xdr:row>38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176894</xdr:colOff>
      <xdr:row>109</xdr:row>
      <xdr:rowOff>32487</xdr:rowOff>
    </xdr:from>
    <xdr:to>
      <xdr:col>15</xdr:col>
      <xdr:colOff>760300</xdr:colOff>
      <xdr:row>129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1175317</xdr:colOff>
      <xdr:row>109</xdr:row>
      <xdr:rowOff>129268</xdr:rowOff>
    </xdr:from>
    <xdr:to>
      <xdr:col>15</xdr:col>
      <xdr:colOff>122464</xdr:colOff>
      <xdr:row>110</xdr:row>
      <xdr:rowOff>34018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D02210B-4B5C-439F-AEED-BA6237510A30}"/>
            </a:ext>
          </a:extLst>
        </xdr:cNvPr>
        <xdr:cNvSpPr txBox="1"/>
      </xdr:nvSpPr>
      <xdr:spPr>
        <a:xfrm>
          <a:off x="8686460" y="21751018"/>
          <a:ext cx="7057004" cy="353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Ejecución</a:t>
          </a:r>
          <a:r>
            <a:rPr lang="es-CL" sz="1200" baseline="0"/>
            <a:t> Presupuestaria año 2024 distribuida por Año Priorización CORE de las IDIs</a:t>
          </a:r>
          <a:endParaRPr lang="es-CL" sz="1200"/>
        </a:p>
      </xdr:txBody>
    </xdr:sp>
    <xdr:clientData/>
  </xdr:twoCellAnchor>
  <xdr:twoCellAnchor>
    <xdr:from>
      <xdr:col>19</xdr:col>
      <xdr:colOff>301907</xdr:colOff>
      <xdr:row>109</xdr:row>
      <xdr:rowOff>23981</xdr:rowOff>
    </xdr:from>
    <xdr:to>
      <xdr:col>26</xdr:col>
      <xdr:colOff>559593</xdr:colOff>
      <xdr:row>127</xdr:row>
      <xdr:rowOff>154780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71"/>
  <sheetViews>
    <sheetView tabSelected="1" zoomScale="70" zoomScaleNormal="70" workbookViewId="0">
      <selection activeCell="E46" sqref="E46"/>
    </sheetView>
  </sheetViews>
  <sheetFormatPr baseColWidth="10" defaultColWidth="11.42578125" defaultRowHeight="16.5"/>
  <cols>
    <col min="1" max="1" width="11.42578125" style="9"/>
    <col min="2" max="2" width="8" style="59" customWidth="1"/>
    <col min="3" max="3" width="7.140625" style="59" customWidth="1"/>
    <col min="4" max="4" width="27" style="61" customWidth="1"/>
    <col min="5" max="5" width="24.7109375" style="9" customWidth="1"/>
    <col min="6" max="6" width="18" style="9" customWidth="1"/>
    <col min="7" max="7" width="17.28515625" style="9" customWidth="1"/>
    <col min="8" max="8" width="15.7109375" style="9" customWidth="1"/>
    <col min="9" max="9" width="17.7109375" style="9" bestFit="1" customWidth="1"/>
    <col min="10" max="13" width="16.42578125" style="9" bestFit="1" customWidth="1"/>
    <col min="14" max="14" width="18.85546875" style="9" customWidth="1"/>
    <col min="15" max="15" width="19" style="9" customWidth="1"/>
    <col min="16" max="16" width="18.42578125" style="9" customWidth="1"/>
    <col min="17" max="17" width="18.28515625" style="9" customWidth="1"/>
    <col min="18" max="18" width="16.5703125" style="9" customWidth="1"/>
    <col min="19" max="19" width="16.7109375" style="9" customWidth="1"/>
    <col min="20" max="20" width="17.85546875" style="9" customWidth="1"/>
    <col min="21" max="21" width="18.7109375" style="9" customWidth="1"/>
    <col min="22" max="22" width="24" style="9" bestFit="1" customWidth="1"/>
    <col min="23" max="23" width="17" style="9" bestFit="1" customWidth="1"/>
    <col min="24" max="24" width="11.42578125" style="9"/>
    <col min="25" max="25" width="11.42578125" style="9" customWidth="1"/>
    <col min="26" max="16384" width="11.42578125" style="9"/>
  </cols>
  <sheetData>
    <row r="1" spans="2:21" ht="25.5" customHeight="1">
      <c r="B1" s="359" t="s">
        <v>0</v>
      </c>
      <c r="C1" s="359"/>
      <c r="D1" s="359"/>
      <c r="E1" s="359"/>
      <c r="F1" s="359"/>
      <c r="H1" s="92" t="s">
        <v>1</v>
      </c>
    </row>
    <row r="2" spans="2:21" ht="17.25" customHeight="1">
      <c r="B2" s="360">
        <v>45596</v>
      </c>
      <c r="C2" s="361"/>
      <c r="D2" s="361"/>
      <c r="E2" s="361"/>
      <c r="F2" s="361"/>
      <c r="H2" s="54" t="s">
        <v>2</v>
      </c>
      <c r="I2" s="54" t="s">
        <v>2</v>
      </c>
      <c r="J2" s="54" t="s">
        <v>2</v>
      </c>
      <c r="K2" s="54" t="s">
        <v>2</v>
      </c>
      <c r="L2" s="54" t="s">
        <v>2</v>
      </c>
      <c r="M2" s="54" t="s">
        <v>2</v>
      </c>
      <c r="N2" s="54" t="s">
        <v>2</v>
      </c>
      <c r="O2" s="54" t="s">
        <v>2</v>
      </c>
      <c r="P2" s="54" t="s">
        <v>2</v>
      </c>
      <c r="Q2" s="54" t="s">
        <v>2</v>
      </c>
      <c r="R2" s="54" t="s">
        <v>2</v>
      </c>
      <c r="S2" s="54" t="s">
        <v>2</v>
      </c>
    </row>
    <row r="3" spans="2:21" ht="16.5" customHeight="1">
      <c r="B3" s="22" t="s">
        <v>3</v>
      </c>
      <c r="C3" s="21" t="s">
        <v>4</v>
      </c>
      <c r="D3" s="154" t="s">
        <v>5</v>
      </c>
      <c r="E3" s="22" t="s">
        <v>6</v>
      </c>
      <c r="F3" s="22" t="s">
        <v>7</v>
      </c>
      <c r="G3" s="23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1" t="s">
        <v>14</v>
      </c>
      <c r="N3" s="41" t="s">
        <v>15</v>
      </c>
      <c r="O3" s="41" t="s">
        <v>16</v>
      </c>
      <c r="P3" s="41" t="s">
        <v>17</v>
      </c>
      <c r="Q3" s="41" t="s">
        <v>18</v>
      </c>
      <c r="R3" s="41" t="s">
        <v>19</v>
      </c>
      <c r="S3" s="41" t="s">
        <v>20</v>
      </c>
      <c r="T3" s="41" t="s">
        <v>2</v>
      </c>
      <c r="U3" s="22" t="s">
        <v>21</v>
      </c>
    </row>
    <row r="4" spans="2:21" ht="13.5" customHeight="1">
      <c r="B4" s="155">
        <v>22</v>
      </c>
      <c r="C4" s="156"/>
      <c r="D4" s="153" t="s">
        <v>22</v>
      </c>
      <c r="E4" s="50">
        <v>720553</v>
      </c>
      <c r="F4" s="50">
        <f>+E4</f>
        <v>720553</v>
      </c>
      <c r="G4" s="50">
        <v>254015</v>
      </c>
      <c r="H4" s="50">
        <f>SUMIFS('2024 FNDR'!R$4:R$243,'2024 FNDR'!$B$4:$B$243,$B$4)</f>
        <v>0</v>
      </c>
      <c r="I4" s="50">
        <f>SUMIFS('2024 FNDR'!S$4:S$243,'2024 FNDR'!$B$4:$B$243,$B$4)</f>
        <v>0</v>
      </c>
      <c r="J4" s="50">
        <f>SUMIFS('2024 FNDR'!T$4:T$243,'2024 FNDR'!$B$4:$B$243,$B$4)</f>
        <v>0</v>
      </c>
      <c r="K4" s="50">
        <f>SUMIFS('2024 FNDR'!U$4:U$243,'2024 FNDR'!$B$4:$B$243,$B$4)</f>
        <v>0</v>
      </c>
      <c r="L4" s="50">
        <f>SUMIFS('2024 FNDR'!V$4:V$396,'2024 FNDR'!$B$4:$B$396,$B$4)</f>
        <v>0</v>
      </c>
      <c r="M4" s="50">
        <f>SUMIFS('2024 FNDR'!W$4:W$396,'2024 FNDR'!$B$4:$B$396,$B$4)</f>
        <v>0</v>
      </c>
      <c r="N4" s="50">
        <f>SUMIFS('2024 FNDR'!X$4:X$396,'2024 FNDR'!$B$4:$B$396,$B$4)</f>
        <v>41662</v>
      </c>
      <c r="O4" s="347">
        <f>SUMIFS('2024 FNDR'!Y$4:Y$396,'2024 FNDR'!$B$4:$B$396,$B$4)</f>
        <v>0</v>
      </c>
      <c r="P4" s="50">
        <f>SUMIFS('2024 FNDR'!Z$4:Z$396,'2024 FNDR'!$B$4:$B$396,$B$4)</f>
        <v>41662</v>
      </c>
      <c r="Q4" s="50">
        <f>SUMIFS('2024 FNDR'!AA$4:AA$396,'2024 FNDR'!$B$4:$B$396,$B$4)</f>
        <v>52077.5</v>
      </c>
      <c r="R4" s="50">
        <f>SUMIFS('2024 FNDR'!AB$4:AB$396,'2024 FNDR'!$B$4:$B$396,$B$4)</f>
        <v>0</v>
      </c>
      <c r="S4" s="50">
        <f>SUMIFS('2024 FNDR'!AC$4:AC$396,'2024 FNDR'!$B$4:$B$396,$B$4)</f>
        <v>0</v>
      </c>
      <c r="T4" s="50">
        <f>SUM(H4:S4)</f>
        <v>135401.5</v>
      </c>
      <c r="U4" s="24">
        <f>+F4-T4</f>
        <v>585151.5</v>
      </c>
    </row>
    <row r="5" spans="2:21" ht="13.5" customHeight="1">
      <c r="B5" s="155">
        <v>24</v>
      </c>
      <c r="C5" s="157"/>
      <c r="D5" s="153" t="s">
        <v>23</v>
      </c>
      <c r="E5" s="50">
        <f>+E6+E7</f>
        <v>22893477</v>
      </c>
      <c r="F5" s="50">
        <f>SUM(F6:F7)</f>
        <v>22893477</v>
      </c>
      <c r="G5" s="50">
        <f>+G6+G7</f>
        <v>13078951</v>
      </c>
      <c r="H5" s="50">
        <f>SUM(H6:H7)</f>
        <v>0</v>
      </c>
      <c r="I5" s="50">
        <f>SUM(I6:I7)</f>
        <v>422300</v>
      </c>
      <c r="J5" s="50">
        <f>SUM(J6:J7)</f>
        <v>0</v>
      </c>
      <c r="K5" s="50">
        <f t="shared" ref="K5:R5" si="0">SUM(K6:K7)</f>
        <v>4065.5790000000002</v>
      </c>
      <c r="L5" s="50">
        <f t="shared" si="0"/>
        <v>5423.9129999999996</v>
      </c>
      <c r="M5" s="50">
        <f t="shared" si="0"/>
        <v>13739.821</v>
      </c>
      <c r="N5" s="50">
        <f>SUM(N6:N7)</f>
        <v>233300.052</v>
      </c>
      <c r="O5" s="50">
        <f t="shared" si="0"/>
        <v>1518521.763</v>
      </c>
      <c r="P5" s="50">
        <f>SUM(P6:P7)</f>
        <v>441683.804</v>
      </c>
      <c r="Q5" s="50">
        <f t="shared" si="0"/>
        <v>582246.66700000002</v>
      </c>
      <c r="R5" s="50">
        <f t="shared" si="0"/>
        <v>0</v>
      </c>
      <c r="S5" s="50">
        <f>SUM(S6:S7)</f>
        <v>0</v>
      </c>
      <c r="T5" s="50">
        <f>SUM(T6:T7)</f>
        <v>3221281.5989999995</v>
      </c>
      <c r="U5" s="24">
        <f>SUM(U6:U7)</f>
        <v>19672195.401000001</v>
      </c>
    </row>
    <row r="6" spans="2:21" ht="13.5" customHeight="1">
      <c r="B6" s="146"/>
      <c r="C6" s="147" t="s">
        <v>24</v>
      </c>
      <c r="D6" s="62" t="s">
        <v>25</v>
      </c>
      <c r="E6" s="26">
        <v>10714077</v>
      </c>
      <c r="F6" s="26">
        <f>+E6</f>
        <v>10714077</v>
      </c>
      <c r="G6" s="26">
        <v>8736377</v>
      </c>
      <c r="H6" s="47">
        <f>SUMIFS('2024 FNDR'!R$4:R$243,'2024 FNDR'!$B$4:$B$243,$B$5,'2024 FNDR'!$C$4:$C$243,$C$6)</f>
        <v>0</v>
      </c>
      <c r="I6" s="47">
        <f>SUMIFS('2024 FNDR'!S$4:S$243,'2024 FNDR'!$B$4:$B$243,$B$5,'2024 FNDR'!$C$4:$C$243,$C$6)</f>
        <v>422300</v>
      </c>
      <c r="J6" s="47">
        <f>SUMIFS('2024 FNDR'!T$4:T$243,'2024 FNDR'!$B$4:$B$243,$B$5,'2024 FNDR'!$C$4:$C$243,$C$6)</f>
        <v>0</v>
      </c>
      <c r="K6" s="47">
        <f>SUMIFS('2024 FNDR'!U$4:U$243,'2024 FNDR'!$B$4:$B$243,$B$5,'2024 FNDR'!$C$4:$C$243,$C$6)</f>
        <v>4065.5790000000002</v>
      </c>
      <c r="L6" s="47">
        <f>SUMIFS('2024 FNDR'!V$4:V$396,'2024 FNDR'!$B$4:$B$396,$B$5,'2024 FNDR'!$C$4:$C$396,$C6)</f>
        <v>1188.6369999999999</v>
      </c>
      <c r="M6" s="47">
        <f>SUMIFS('2024 FNDR'!W$4:W$396,'2024 FNDR'!$B$4:$B$396,$B$5,'2024 FNDR'!$C$4:$C$396,$C6)</f>
        <v>13739.821</v>
      </c>
      <c r="N6" s="47">
        <f>SUMIFS('2024 FNDR'!X$4:X$396,'2024 FNDR'!$B$4:$B$396,$B$5,'2024 FNDR'!$C$4:$C$396,$C6)</f>
        <v>43128.796999999999</v>
      </c>
      <c r="O6" s="196">
        <f>SUMIFS('2024 FNDR'!Y$4:Y$433,'2024 FNDR'!$B$4:$B$433,$B$5,'2024 FNDR'!$C$4:$C$433,$C6)</f>
        <v>629324.62899999996</v>
      </c>
      <c r="P6" s="47">
        <f>SUMIFS('2024 FNDR'!Z$4:Z$396,'2024 FNDR'!$B$4:$B$396,$B$5,'2024 FNDR'!$C$4:$C$396,$C6)</f>
        <v>409993.80599999998</v>
      </c>
      <c r="Q6" s="47">
        <f>SUMIFS('2024 FNDR'!AA$4:AA$396,'2024 FNDR'!$B$4:$B$396,$B$5,'2024 FNDR'!$C$4:$C$396,$C6)</f>
        <v>582246.66700000002</v>
      </c>
      <c r="R6" s="47">
        <f>SUMIFS('2024 FNDR'!AB$4:AB$396,'2024 FNDR'!$B$4:$B$396,$B$5,'2024 FNDR'!$C$4:$C$396,$C6)</f>
        <v>0</v>
      </c>
      <c r="S6" s="47">
        <f>SUMIFS('2024 FNDR'!AC$4:AC$396,'2024 FNDR'!$B$4:$B$396,$B$5,'2024 FNDR'!$C$4:$C$396,$C6)</f>
        <v>0</v>
      </c>
      <c r="T6" s="196">
        <f>SUMIFS(H6:S6,$H$2:$S$2,"EJECUTADO")</f>
        <v>2105987.9359999998</v>
      </c>
      <c r="U6" s="26">
        <f>+F6-T6</f>
        <v>8608089.0639999993</v>
      </c>
    </row>
    <row r="7" spans="2:21" ht="13.5" customHeight="1">
      <c r="B7" s="146"/>
      <c r="C7" s="147" t="s">
        <v>26</v>
      </c>
      <c r="D7" s="62" t="s">
        <v>27</v>
      </c>
      <c r="E7" s="26">
        <v>12179400</v>
      </c>
      <c r="F7" s="26">
        <f>+E7</f>
        <v>12179400</v>
      </c>
      <c r="G7" s="26">
        <v>4342574</v>
      </c>
      <c r="H7" s="47">
        <f>SUMIFS('2024 FNDR'!R$4:R$243,'2024 FNDR'!$B$4:$B$243,$B$5,'2024 FNDR'!$C$4:$C$243,$C$7)</f>
        <v>0</v>
      </c>
      <c r="I7" s="47">
        <f>SUMIFS('2024 FNDR'!S$4:S$243,'2024 FNDR'!$B$4:$B$243,$B$5,'2024 FNDR'!$C$4:$C$243,$C$7)</f>
        <v>0</v>
      </c>
      <c r="J7" s="47">
        <f>SUMIFS('2024 FNDR'!T$4:T$243,'2024 FNDR'!$B$4:$B$243,$B$5,'2024 FNDR'!$C$4:$C$243,$C$7)</f>
        <v>0</v>
      </c>
      <c r="K7" s="47">
        <f>SUMIFS('2024 FNDR'!U$4:U$243,'2024 FNDR'!$B$4:$B$243,$B$5,'2024 FNDR'!$C$4:$C$243,$C$7)</f>
        <v>0</v>
      </c>
      <c r="L7" s="47">
        <f>SUMIFS('2024 FNDR'!V$4:V$396,'2024 FNDR'!$B$4:$B$396,$B$5,'2024 FNDR'!$C$4:$C$396,$C7)</f>
        <v>4235.2759999999998</v>
      </c>
      <c r="M7" s="47">
        <f>SUMIFS('2024 FNDR'!W$4:W$396,'2024 FNDR'!$B$4:$B$396,$B$5,'2024 FNDR'!$C$4:$C$396,$C7)</f>
        <v>0</v>
      </c>
      <c r="N7" s="47">
        <f>SUMIFS('2024 FNDR'!X$4:X$396,'2024 FNDR'!$B$4:$B$396,$B$5,'2024 FNDR'!$C$4:$C$396,$C7)</f>
        <v>190171.255</v>
      </c>
      <c r="O7" s="196">
        <f>SUMIFS('2024 FNDR'!Y$4:Y$433,'2024 FNDR'!$B$4:$B$433,$B$5,'2024 FNDR'!$C$4:$C$433,$C7)</f>
        <v>889197.13400000008</v>
      </c>
      <c r="P7" s="47">
        <f>SUMIFS('2024 FNDR'!Z$4:Z$396,'2024 FNDR'!$B$4:$B$396,$B$5,'2024 FNDR'!$C$4:$C$396,$C7)</f>
        <v>31689.998</v>
      </c>
      <c r="Q7" s="47">
        <f>SUMIFS('2024 FNDR'!AA$4:AA$396,'2024 FNDR'!$B$4:$B$396,$B$5,'2024 FNDR'!$C$4:$C$396,$C7)</f>
        <v>0</v>
      </c>
      <c r="R7" s="47">
        <f>SUMIFS('2024 FNDR'!AB$4:AB$396,'2024 FNDR'!$B$4:$B$396,$B$5,'2024 FNDR'!$C$4:$C$396,$C7)</f>
        <v>0</v>
      </c>
      <c r="S7" s="47">
        <f>SUMIFS('2024 FNDR'!AC$4:AC$396,'2024 FNDR'!$B$4:$B$396,$B$5,'2024 FNDR'!$C$4:$C$396,$C7)</f>
        <v>0</v>
      </c>
      <c r="T7" s="196">
        <f>SUMIFS(H7:S7,$H$2:$S$2,"EJECUTADO")</f>
        <v>1115293.6629999999</v>
      </c>
      <c r="U7" s="26">
        <f>+F7-T7</f>
        <v>11064106.336999999</v>
      </c>
    </row>
    <row r="8" spans="2:21" ht="13.5" customHeight="1">
      <c r="B8" s="155">
        <v>26</v>
      </c>
      <c r="C8" s="157"/>
      <c r="D8" s="153" t="s">
        <v>28</v>
      </c>
      <c r="E8" s="50"/>
      <c r="F8" s="50">
        <f>+F9</f>
        <v>0</v>
      </c>
      <c r="G8" s="50">
        <f>+G9</f>
        <v>0</v>
      </c>
      <c r="H8" s="50">
        <f>SUM(H9)</f>
        <v>0</v>
      </c>
      <c r="I8" s="50">
        <f t="shared" ref="I8:R8" si="1">SUM(I9)</f>
        <v>0</v>
      </c>
      <c r="J8" s="50">
        <f t="shared" si="1"/>
        <v>0</v>
      </c>
      <c r="K8" s="50">
        <f t="shared" si="1"/>
        <v>0</v>
      </c>
      <c r="L8" s="50">
        <f t="shared" si="1"/>
        <v>3998.4</v>
      </c>
      <c r="M8" s="50">
        <f t="shared" si="1"/>
        <v>9996</v>
      </c>
      <c r="N8" s="50">
        <f t="shared" si="1"/>
        <v>9996</v>
      </c>
      <c r="O8" s="50">
        <f t="shared" si="1"/>
        <v>22638.446</v>
      </c>
      <c r="P8" s="50">
        <f t="shared" si="1"/>
        <v>5997.6</v>
      </c>
      <c r="Q8" s="50">
        <f t="shared" si="1"/>
        <v>5664.4</v>
      </c>
      <c r="R8" s="50">
        <f t="shared" si="1"/>
        <v>0</v>
      </c>
      <c r="S8" s="50">
        <f>+S9</f>
        <v>0</v>
      </c>
      <c r="T8" s="50">
        <f>+T9</f>
        <v>58290.846000000005</v>
      </c>
      <c r="U8" s="24">
        <f>+U9</f>
        <v>-58290.846000000005</v>
      </c>
    </row>
    <row r="9" spans="2:21" ht="13.5" customHeight="1">
      <c r="B9" s="146"/>
      <c r="C9" s="147" t="s">
        <v>29</v>
      </c>
      <c r="D9" s="62" t="s">
        <v>30</v>
      </c>
      <c r="E9" s="26">
        <v>0</v>
      </c>
      <c r="F9" s="26"/>
      <c r="G9" s="26">
        <v>0</v>
      </c>
      <c r="H9" s="47">
        <f>SUMIFS('2024 FNDR'!R$4:R$243,'2024 FNDR'!$B$4:$B$243,$B$8,'2024 FNDR'!$C$4:$C$243,$C$9)</f>
        <v>0</v>
      </c>
      <c r="I9" s="47">
        <f>SUMIFS('2024 FNDR'!S$4:S$243,'2024 FNDR'!$B$4:$B$243,$B$8,'2024 FNDR'!$C$4:$C$243,$C$9)</f>
        <v>0</v>
      </c>
      <c r="J9" s="47">
        <f>SUMIFS('2024 FNDR'!T$4:T$243,'2024 FNDR'!$B$4:$B$243,$B$8,'2024 FNDR'!$C$4:$C$243,$C$9)</f>
        <v>0</v>
      </c>
      <c r="K9" s="47">
        <f>SUMIFS('2024 FNDR'!U$4:U$243,'2024 FNDR'!$B$4:$B$243,$B$8,'2024 FNDR'!$C$4:$C$243,$C$9)</f>
        <v>0</v>
      </c>
      <c r="L9" s="47">
        <f>SUMIFS('2024 FNDR'!V$4:V$396,'2024 FNDR'!$B$4:$B$396,$B$8,'2024 FNDR'!$C$4:$C$396,$C$9)</f>
        <v>3998.4</v>
      </c>
      <c r="M9" s="47">
        <f>SUMIFS('2024 FNDR'!W$4:W$396,'2024 FNDR'!$B$4:$B$396,$B$8,'2024 FNDR'!$C$4:$C$396,$C$9)</f>
        <v>9996</v>
      </c>
      <c r="N9" s="47">
        <f>SUMIFS('2024 FNDR'!X$4:X$396,'2024 FNDR'!$B$4:$B$396,$B$8,'2024 FNDR'!$C$4:$C$396,$C$9)</f>
        <v>9996</v>
      </c>
      <c r="O9" s="196">
        <f>SUMIFS('2024 FNDR'!Y$4:Y$433,'2024 FNDR'!$B$4:$B$433,$B$8,'2024 FNDR'!$C$4:$C$433,$C$9)</f>
        <v>22638.446</v>
      </c>
      <c r="P9" s="47">
        <f>SUMIFS('2024 FNDR'!Z$4:Z$396,'2024 FNDR'!$B$4:$B$396,$B$8,'2024 FNDR'!$C$4:$C$396,$C$9)</f>
        <v>5997.6</v>
      </c>
      <c r="Q9" s="47">
        <f>SUMIFS('2024 FNDR'!AA$4:AA$396,'2024 FNDR'!$B$4:$B$396,$B$8,'2024 FNDR'!$C$4:$C$396,$C$9)</f>
        <v>5664.4</v>
      </c>
      <c r="R9" s="47">
        <f>SUMIFS('2024 FNDR'!AB$4:AB$396,'2024 FNDR'!$B$4:$B$396,$B$8,'2024 FNDR'!$C$4:$C$396,$C$9)</f>
        <v>0</v>
      </c>
      <c r="S9" s="47">
        <f>SUMIFS('2024 FNDR'!AC$4:AC$396,'2024 FNDR'!$B$4:$B$396,$B$8,'2024 FNDR'!$C$4:$C$396,$C$9)</f>
        <v>0</v>
      </c>
      <c r="T9" s="196">
        <f>SUMIFS(H9:S9,$H$2:$S$2,"EJECUTADO")</f>
        <v>58290.846000000005</v>
      </c>
      <c r="U9" s="26">
        <f>+F9-T9</f>
        <v>-58290.846000000005</v>
      </c>
    </row>
    <row r="10" spans="2:21" ht="13.5" customHeight="1">
      <c r="B10" s="155">
        <v>29</v>
      </c>
      <c r="C10" s="155"/>
      <c r="D10" s="153" t="s">
        <v>31</v>
      </c>
      <c r="E10" s="51">
        <f t="shared" ref="E10:J10" si="2">SUM(E11:E18)</f>
        <v>7000000</v>
      </c>
      <c r="F10" s="51">
        <f>+F13+F15+F17</f>
        <v>7000000</v>
      </c>
      <c r="G10" s="51">
        <f t="shared" si="2"/>
        <v>4321041</v>
      </c>
      <c r="H10" s="51">
        <f t="shared" si="2"/>
        <v>0</v>
      </c>
      <c r="I10" s="198">
        <f t="shared" si="2"/>
        <v>193970</v>
      </c>
      <c r="J10" s="198">
        <f t="shared" si="2"/>
        <v>679146.09</v>
      </c>
      <c r="K10" s="198">
        <f t="shared" ref="K10:Q10" si="3">SUM(K11:K18)</f>
        <v>24990</v>
      </c>
      <c r="L10" s="198">
        <f t="shared" si="3"/>
        <v>166468.43</v>
      </c>
      <c r="M10" s="198">
        <f t="shared" si="3"/>
        <v>90000</v>
      </c>
      <c r="N10" s="198">
        <f t="shared" si="3"/>
        <v>357797.56800000003</v>
      </c>
      <c r="O10" s="349">
        <f t="shared" si="3"/>
        <v>0</v>
      </c>
      <c r="P10" s="198">
        <f>SUM(P11:P18)</f>
        <v>1206124.0859999999</v>
      </c>
      <c r="Q10" s="198">
        <f t="shared" si="3"/>
        <v>230146</v>
      </c>
      <c r="R10" s="198">
        <f>SUM(R11:R18)</f>
        <v>0</v>
      </c>
      <c r="S10" s="198">
        <f>SUM(S11:S18)</f>
        <v>0</v>
      </c>
      <c r="T10" s="198">
        <f>SUM(T11:T18)</f>
        <v>2948642.1739999996</v>
      </c>
      <c r="U10" s="28">
        <f>SUM(U11:U18)</f>
        <v>4051357.8260000004</v>
      </c>
    </row>
    <row r="11" spans="2:21" ht="13.5" customHeight="1">
      <c r="B11" s="145"/>
      <c r="C11" s="148" t="s">
        <v>24</v>
      </c>
      <c r="D11" s="62" t="s">
        <v>32</v>
      </c>
      <c r="E11" s="29">
        <v>0</v>
      </c>
      <c r="F11" s="29">
        <f>E11</f>
        <v>0</v>
      </c>
      <c r="G11" s="29"/>
      <c r="H11" s="47">
        <f>SUMIFS('2024 FNDR'!R$4:R$243,'2024 FNDR'!$B$4:$B$243,$B$10,'2024 FNDR'!$C$4:$C$243,$C$11)</f>
        <v>0</v>
      </c>
      <c r="I11" s="47">
        <f>SUMIFS('2024 FNDR'!S$4:S$243,'2024 FNDR'!$B$4:$B$243,$B$10,'2024 FNDR'!$C$4:$C$243,$C$11)</f>
        <v>0</v>
      </c>
      <c r="J11" s="47">
        <f>SUMIFS('2024 FNDR'!T$4:T$449,'2024 FNDR'!$B$4:$B$449,$B$10,'2024 FNDR'!$C$4:$C$449,$C11)</f>
        <v>0</v>
      </c>
      <c r="K11" s="47">
        <f>SUMIFS('2024 FNDR'!U$4:U$243,'2024 FNDR'!$B$4:$B$243,$B$10,'2024 FNDR'!$C$4:$C$243,$C$11)</f>
        <v>0</v>
      </c>
      <c r="L11" s="47">
        <f>SUMIFS('2024 FNDR'!V$4:V$396,'2024 FNDR'!$B$4:$B$396,$B$10,'2024 FNDR'!$C$4:$C$396,$C11)</f>
        <v>0</v>
      </c>
      <c r="M11" s="47">
        <f>SUMIFS('2024 FNDR'!W$4:W$396,'2024 FNDR'!$B$4:$B$396,$B$10,'2024 FNDR'!$C$4:$C$396,$C11)</f>
        <v>0</v>
      </c>
      <c r="N11" s="47">
        <f>SUMIFS('2024 FNDR'!X$4:X$396,'2024 FNDR'!$B$4:$B$396,$B$10,'2024 FNDR'!$C$4:$C$396,$C11)</f>
        <v>0</v>
      </c>
      <c r="O11" s="348">
        <f>SUMIFS('2024 FNDR'!Y$4:Y$433,'2024 FNDR'!$B$4:$B$433,$B$10,'2024 FNDR'!$C$4:$C$433,$C11)</f>
        <v>0</v>
      </c>
      <c r="P11" s="47">
        <f>SUMIFS('2024 FNDR'!Z$4:Z$396,'2024 FNDR'!$B$4:$B$396,$B$10,'2024 FNDR'!$C$4:$C$396,$C11)</f>
        <v>0</v>
      </c>
      <c r="Q11" s="47">
        <f>SUMIFS('2024 FNDR'!AA$4:AA$396,'2024 FNDR'!$B$4:$B$396,$B$10,'2024 FNDR'!$C$4:$C$396,$C11)</f>
        <v>0</v>
      </c>
      <c r="R11" s="47">
        <f>SUMIFS('2024 FNDR'!AB$4:AB$396,'2024 FNDR'!$B$4:$B$396,$B$10,'2024 FNDR'!$C$4:$C$396,$C11)</f>
        <v>0</v>
      </c>
      <c r="S11" s="47">
        <f>SUMIFS('2024 FNDR'!AC$4:AC$396,'2024 FNDR'!$B$4:$B$396,$B$10,'2024 FNDR'!$C$4:$C$396,$C11)</f>
        <v>0</v>
      </c>
      <c r="T11" s="196">
        <f t="shared" ref="T11:T18" si="4">SUMIFS(H11:S11,$H$2:$S$2,"EJECUTADO")</f>
        <v>0</v>
      </c>
      <c r="U11" s="26">
        <f t="shared" ref="U11:U18" si="5">+F11-T11</f>
        <v>0</v>
      </c>
    </row>
    <row r="12" spans="2:21" ht="13.5" customHeight="1">
      <c r="B12" s="145"/>
      <c r="C12" s="148" t="s">
        <v>29</v>
      </c>
      <c r="D12" s="64" t="s">
        <v>33</v>
      </c>
      <c r="E12" s="29">
        <v>0</v>
      </c>
      <c r="F12" s="29">
        <f t="shared" ref="F12" si="6">E12</f>
        <v>0</v>
      </c>
      <c r="G12" s="29"/>
      <c r="H12" s="47">
        <f>SUMIFS('2024 FNDR'!R$4:R$243,'2024 FNDR'!$B$4:$B$243,$B$10,'2024 FNDR'!$C$4:$C$243,$C$12)</f>
        <v>0</v>
      </c>
      <c r="I12" s="47">
        <f>SUMIFS('2024 FNDR'!S$4:S$243,'2024 FNDR'!$B$4:$B$243,$B$10,'2024 FNDR'!$C$4:$C$243,$C$12)</f>
        <v>0</v>
      </c>
      <c r="J12" s="47">
        <f>SUMIFS('2024 FNDR'!T$4:T$449,'2024 FNDR'!$B$4:$B$449,$B$10,'2024 FNDR'!$C$4:$C$449,$C12)</f>
        <v>0</v>
      </c>
      <c r="K12" s="47">
        <f>SUMIFS('2024 FNDR'!U$4:U$243,'2024 FNDR'!$B$4:$B$243,$B$10,'2024 FNDR'!$C$4:$C$243,$C$12)</f>
        <v>0</v>
      </c>
      <c r="L12" s="47">
        <f>SUMIFS('2024 FNDR'!V$4:V$396,'2024 FNDR'!$B$4:$B$396,$B$10,'2024 FNDR'!$C$4:$C$396,$C12)</f>
        <v>0</v>
      </c>
      <c r="M12" s="47">
        <f>SUMIFS('2024 FNDR'!W$4:W$396,'2024 FNDR'!$B$4:$B$396,$B$10,'2024 FNDR'!$C$4:$C$396,$C12)</f>
        <v>0</v>
      </c>
      <c r="N12" s="47">
        <f>SUMIFS('2024 FNDR'!X$4:X$396,'2024 FNDR'!$B$4:$B$396,$B$10,'2024 FNDR'!$C$4:$C$396,$C12)</f>
        <v>0</v>
      </c>
      <c r="O12" s="348">
        <f>SUMIFS('2024 FNDR'!Y$4:Y$433,'2024 FNDR'!$B$4:$B$433,$B$10,'2024 FNDR'!$C$4:$C$433,$C12)</f>
        <v>0</v>
      </c>
      <c r="P12" s="47">
        <f>SUMIFS('2024 FNDR'!Z$4:Z$396,'2024 FNDR'!$B$4:$B$396,$B$10,'2024 FNDR'!$C$4:$C$396,$C12)</f>
        <v>0</v>
      </c>
      <c r="Q12" s="47">
        <f>SUMIFS('2024 FNDR'!AA$4:AA$396,'2024 FNDR'!$B$4:$B$396,$B$10,'2024 FNDR'!$C$4:$C$396,$C12)</f>
        <v>0</v>
      </c>
      <c r="R12" s="47">
        <f>SUMIFS('2024 FNDR'!AB$4:AB$396,'2024 FNDR'!$B$4:$B$396,$B$10,'2024 FNDR'!$C$4:$C$396,$C12)</f>
        <v>0</v>
      </c>
      <c r="S12" s="47">
        <f>SUMIFS('2024 FNDR'!AC$4:AC$396,'2024 FNDR'!$B$4:$B$396,$B$10,'2024 FNDR'!$C$4:$C$396,$C12)</f>
        <v>0</v>
      </c>
      <c r="T12" s="196">
        <f t="shared" si="4"/>
        <v>0</v>
      </c>
      <c r="U12" s="26">
        <f t="shared" si="5"/>
        <v>0</v>
      </c>
    </row>
    <row r="13" spans="2:21" ht="13.5" customHeight="1">
      <c r="B13" s="145"/>
      <c r="C13" s="148" t="s">
        <v>26</v>
      </c>
      <c r="D13" s="64" t="s">
        <v>34</v>
      </c>
      <c r="E13" s="29">
        <v>4343821</v>
      </c>
      <c r="F13" s="29">
        <f>+E13</f>
        <v>4343821</v>
      </c>
      <c r="G13" s="29">
        <v>4321041</v>
      </c>
      <c r="H13" s="47">
        <f>SUMIFS('2024 FNDR'!R$4:R$243,'2024 FNDR'!$B$4:$B$243,$B$10,'2024 FNDR'!$C$4:$C$243,$C$13)</f>
        <v>0</v>
      </c>
      <c r="I13" s="47">
        <f>SUMIFS('2024 FNDR'!S$4:S$230,'2024 FNDR'!$B$4:$B$230,$B$10,'2024 FNDR'!$C$4:$C$230,$C$13)</f>
        <v>193970</v>
      </c>
      <c r="J13" s="47">
        <f>SUMIFS('2024 FNDR'!T$4:T$449,'2024 FNDR'!$B$4:$B$449,$B$10,'2024 FNDR'!$C$4:$C$449,$C13)</f>
        <v>679146.09</v>
      </c>
      <c r="K13" s="47">
        <f>SUMIFS('2024 FNDR'!U$4:U$230,'2024 FNDR'!$B$4:$B$230,$B$10,'2024 FNDR'!$C$4:$C$230,$C$13)</f>
        <v>24990</v>
      </c>
      <c r="L13" s="47">
        <f>SUMIFS('2024 FNDR'!V$4:V$396,'2024 FNDR'!$B$4:$B$396,$B$10,'2024 FNDR'!$C$4:$C$396,$C13)</f>
        <v>166468.43</v>
      </c>
      <c r="M13" s="47">
        <f>SUMIFS('2024 FNDR'!W$4:W$396,'2024 FNDR'!$B$4:$B$396,$B$10,'2024 FNDR'!$C$4:$C$396,$C13)</f>
        <v>90000</v>
      </c>
      <c r="N13" s="47">
        <f>SUMIFS('2024 FNDR'!X$4:X$396,'2024 FNDR'!$B$4:$B$396,$B$10,'2024 FNDR'!$C$4:$C$396,$C13)</f>
        <v>357797.56800000003</v>
      </c>
      <c r="O13" s="348">
        <f>SUMIFS('2024 FNDR'!Y$4:Y$433,'2024 FNDR'!$B$4:$B$433,$B$10,'2024 FNDR'!$C$4:$C$433,$C13)</f>
        <v>0</v>
      </c>
      <c r="P13" s="47">
        <f>SUMIFS('2024 FNDR'!Z$4:Z$396,'2024 FNDR'!$B$4:$B$396,$B$10,'2024 FNDR'!$C$4:$C$396,$C13)</f>
        <v>1206124.0859999999</v>
      </c>
      <c r="Q13" s="47">
        <f>SUMIFS('2024 FNDR'!AA$4:AA$396,'2024 FNDR'!$B$4:$B$396,$B$10,'2024 FNDR'!$C$4:$C$396,$C13)</f>
        <v>0</v>
      </c>
      <c r="R13" s="47">
        <f>SUMIFS('2024 FNDR'!AB$4:AB$396,'2024 FNDR'!$B$4:$B$396,$B$10,'2024 FNDR'!$C$4:$C$396,$C13)</f>
        <v>0</v>
      </c>
      <c r="S13" s="47">
        <f>SUMIFS('2024 FNDR'!AC$4:AC$396,'2024 FNDR'!$B$4:$B$396,$B$10,'2024 FNDR'!$C$4:$C$396,$C13)</f>
        <v>0</v>
      </c>
      <c r="T13" s="196">
        <f t="shared" si="4"/>
        <v>2718496.1739999996</v>
      </c>
      <c r="U13" s="26">
        <f t="shared" si="5"/>
        <v>1625324.8260000004</v>
      </c>
    </row>
    <row r="14" spans="2:21" ht="13.5" customHeight="1">
      <c r="B14" s="146"/>
      <c r="C14" s="148" t="s">
        <v>35</v>
      </c>
      <c r="D14" s="62" t="s">
        <v>36</v>
      </c>
      <c r="E14" s="29">
        <v>0</v>
      </c>
      <c r="F14" s="29">
        <v>0</v>
      </c>
      <c r="G14" s="29"/>
      <c r="H14" s="47">
        <f>SUMIFS('2024 FNDR'!R$4:R$243,'2024 FNDR'!$B$4:$B$243,$B$10,'2024 FNDR'!$C$4:$C$243,$C$14)</f>
        <v>0</v>
      </c>
      <c r="I14" s="47">
        <f>SUMIFS('2024 FNDR'!S$4:S$243,'2024 FNDR'!$B$4:$B$243,$B$10,'2024 FNDR'!$C$4:$C$243,$C$14)</f>
        <v>0</v>
      </c>
      <c r="J14" s="47">
        <f>SUMIFS('2024 FNDR'!T$4:T$449,'2024 FNDR'!$B$4:$B$449,$B$10,'2024 FNDR'!$C$4:$C$449,$C14)</f>
        <v>0</v>
      </c>
      <c r="K14" s="47">
        <f>SUMIFS('2024 FNDR'!U$4:U$243,'2024 FNDR'!$B$4:$B$243,$B$10,'2024 FNDR'!$C$4:$C$243,$C$14)</f>
        <v>0</v>
      </c>
      <c r="L14" s="47">
        <f>SUMIFS('2024 FNDR'!V$4:V$396,'2024 FNDR'!$B$4:$B$396,$B$10,'2024 FNDR'!$C$4:$C$396,$C14)</f>
        <v>0</v>
      </c>
      <c r="M14" s="47">
        <f>SUMIFS('2024 FNDR'!W$4:W$396,'2024 FNDR'!$B$4:$B$396,$B$10,'2024 FNDR'!$C$4:$C$396,$C14)</f>
        <v>0</v>
      </c>
      <c r="N14" s="47">
        <f>SUMIFS('2024 FNDR'!X$4:X$396,'2024 FNDR'!$B$4:$B$396,$B$10,'2024 FNDR'!$C$4:$C$396,$C14)</f>
        <v>0</v>
      </c>
      <c r="O14" s="348">
        <f>SUMIFS('2024 FNDR'!Y$4:Y$433,'2024 FNDR'!$B$4:$B$433,$B$10,'2024 FNDR'!$C$4:$C$433,$C14)</f>
        <v>0</v>
      </c>
      <c r="P14" s="47">
        <f>SUMIFS('2024 FNDR'!Z$4:Z$396,'2024 FNDR'!$B$4:$B$396,$B$10,'2024 FNDR'!$C$4:$C$396,$C14)</f>
        <v>0</v>
      </c>
      <c r="Q14" s="47">
        <f>SUMIFS('2024 FNDR'!AA$4:AA$396,'2024 FNDR'!$B$4:$B$396,$B$10,'2024 FNDR'!$C$4:$C$396,$C14)</f>
        <v>0</v>
      </c>
      <c r="R14" s="47">
        <f>SUMIFS('2024 FNDR'!AB$4:AB$396,'2024 FNDR'!$B$4:$B$396,$B$10,'2024 FNDR'!$C$4:$C$396,$C14)</f>
        <v>0</v>
      </c>
      <c r="S14" s="47">
        <f>SUMIFS('2024 FNDR'!AC$4:AC$396,'2024 FNDR'!$B$4:$B$396,$B$10,'2024 FNDR'!$C$4:$C$396,$C14)</f>
        <v>0</v>
      </c>
      <c r="T14" s="196">
        <f t="shared" si="4"/>
        <v>0</v>
      </c>
      <c r="U14" s="26">
        <f t="shared" si="5"/>
        <v>0</v>
      </c>
    </row>
    <row r="15" spans="2:21" ht="13.5" customHeight="1">
      <c r="B15" s="146"/>
      <c r="C15" s="148" t="s">
        <v>37</v>
      </c>
      <c r="D15" s="62" t="s">
        <v>38</v>
      </c>
      <c r="E15" s="29">
        <v>2656179</v>
      </c>
      <c r="F15" s="29">
        <f>+E15</f>
        <v>2656179</v>
      </c>
      <c r="G15" s="29"/>
      <c r="H15" s="47">
        <f>SUMIFS('2024 FNDR'!R$4:R$243,'2024 FNDR'!$B$4:$B$243,$B$10,'2024 FNDR'!$C$4:$C$243,$C$15)</f>
        <v>0</v>
      </c>
      <c r="I15" s="47">
        <f>SUMIFS('2024 FNDR'!S$4:S$243,'2024 FNDR'!$B$4:$B$243,$B$10,'2024 FNDR'!$C$4:$C$243,$C$15)</f>
        <v>0</v>
      </c>
      <c r="J15" s="47">
        <f>SUMIFS('2024 FNDR'!T$4:T$449,'2024 FNDR'!$B$4:$B$449,$B$10,'2024 FNDR'!$C$4:$C$449,$C15)</f>
        <v>0</v>
      </c>
      <c r="K15" s="47">
        <f>SUMIFS('2024 FNDR'!U$4:U$243,'2024 FNDR'!$B$4:$B$243,$B$10,'2024 FNDR'!$C$4:$C$243,$C$15)</f>
        <v>0</v>
      </c>
      <c r="L15" s="47">
        <f>SUMIFS('2024 FNDR'!V$4:V$396,'2024 FNDR'!$B$4:$B$396,$B$10,'2024 FNDR'!$C$4:$C$396,$C15)</f>
        <v>0</v>
      </c>
      <c r="M15" s="47">
        <f>SUMIFS('2024 FNDR'!W$4:W$396,'2024 FNDR'!$B$4:$B$396,$B$10,'2024 FNDR'!$C$4:$C$396,$C15)</f>
        <v>0</v>
      </c>
      <c r="N15" s="47">
        <f>SUMIFS('2024 FNDR'!X$4:X$396,'2024 FNDR'!$B$4:$B$396,$B$10,'2024 FNDR'!$C$4:$C$396,$C15)</f>
        <v>0</v>
      </c>
      <c r="O15" s="348">
        <f>SUMIFS('2024 FNDR'!Y$4:Y$433,'2024 FNDR'!$B$4:$B$433,$B$10,'2024 FNDR'!$C$4:$C$433,$C15)</f>
        <v>0</v>
      </c>
      <c r="P15" s="47">
        <f>SUMIFS('2024 FNDR'!Z$4:Z$396,'2024 FNDR'!$B$4:$B$396,$B$10,'2024 FNDR'!$C$4:$C$396,$C15)</f>
        <v>0</v>
      </c>
      <c r="Q15" s="47">
        <f>SUMIFS('2024 FNDR'!AA$4:AA$396,'2024 FNDR'!$B$4:$B$396,$B$10,'2024 FNDR'!$C$4:$C$396,$C15)</f>
        <v>230146</v>
      </c>
      <c r="R15" s="47">
        <f>SUMIFS('2024 FNDR'!AB$4:AB$396,'2024 FNDR'!$B$4:$B$396,$B$10,'2024 FNDR'!$C$4:$C$396,$C15)</f>
        <v>0</v>
      </c>
      <c r="S15" s="47">
        <f>SUMIFS('2024 FNDR'!AC$4:AC$396,'2024 FNDR'!$B$4:$B$396,$B$10,'2024 FNDR'!$C$4:$C$396,$C15)</f>
        <v>0</v>
      </c>
      <c r="T15" s="196">
        <f t="shared" si="4"/>
        <v>230146</v>
      </c>
      <c r="U15" s="26">
        <f t="shared" si="5"/>
        <v>2426033</v>
      </c>
    </row>
    <row r="16" spans="2:21" ht="13.5" customHeight="1">
      <c r="B16" s="146"/>
      <c r="C16" s="148" t="s">
        <v>39</v>
      </c>
      <c r="D16" s="62" t="s">
        <v>40</v>
      </c>
      <c r="E16" s="175" t="s">
        <v>41</v>
      </c>
      <c r="F16" s="29" t="str">
        <f t="shared" ref="F16:F18" si="7">+E16</f>
        <v>0</v>
      </c>
      <c r="G16" s="29"/>
      <c r="H16" s="47">
        <f>SUMIFS('2024 FNDR'!R$4:R$243,'2024 FNDR'!$B$4:$B$243,$B$10,'2024 FNDR'!$C$4:$C$243,$C$16)</f>
        <v>0</v>
      </c>
      <c r="I16" s="47">
        <f>SUMIFS('2024 FNDR'!S$4:S$243,'2024 FNDR'!$B$4:$B$243,$B$10,'2024 FNDR'!$C$4:$C$243,$C$16)</f>
        <v>0</v>
      </c>
      <c r="J16" s="47">
        <f>SUMIFS('2024 FNDR'!T$4:T$449,'2024 FNDR'!$B$4:$B$449,$B$10,'2024 FNDR'!$C$4:$C$449,$C16)</f>
        <v>0</v>
      </c>
      <c r="K16" s="47">
        <f>SUMIFS('2024 FNDR'!U$4:U$243,'2024 FNDR'!$B$4:$B$243,$B$10,'2024 FNDR'!$C$4:$C$243,$C$16)</f>
        <v>0</v>
      </c>
      <c r="L16" s="47">
        <f>SUMIFS('2024 FNDR'!V$4:V$396,'2024 FNDR'!$B$4:$B$396,$B$10,'2024 FNDR'!$C$4:$C$396,$C16)</f>
        <v>0</v>
      </c>
      <c r="M16" s="47">
        <f>SUMIFS('2024 FNDR'!W$4:W$396,'2024 FNDR'!$B$4:$B$396,$B$10,'2024 FNDR'!$C$4:$C$396,$C16)</f>
        <v>0</v>
      </c>
      <c r="N16" s="47">
        <f>SUMIFS('2024 FNDR'!X$4:X$396,'2024 FNDR'!$B$4:$B$396,$B$10,'2024 FNDR'!$C$4:$C$396,$C16)</f>
        <v>0</v>
      </c>
      <c r="O16" s="348">
        <f>SUMIFS('2024 FNDR'!Y$4:Y$433,'2024 FNDR'!$B$4:$B$433,$B$10,'2024 FNDR'!$C$4:$C$433,$C16)</f>
        <v>0</v>
      </c>
      <c r="P16" s="47">
        <f>SUMIFS('2024 FNDR'!Z$4:Z$396,'2024 FNDR'!$B$4:$B$396,$B$10,'2024 FNDR'!$C$4:$C$396,$C16)</f>
        <v>0</v>
      </c>
      <c r="Q16" s="47">
        <f>SUMIFS('2024 FNDR'!AA$4:AA$396,'2024 FNDR'!$B$4:$B$396,$B$10,'2024 FNDR'!$C$4:$C$396,$C16)</f>
        <v>0</v>
      </c>
      <c r="R16" s="47">
        <f>SUMIFS('2024 FNDR'!AB$4:AB$396,'2024 FNDR'!$B$4:$B$396,$B$10,'2024 FNDR'!$C$4:$C$396,$C16)</f>
        <v>0</v>
      </c>
      <c r="S16" s="47">
        <f>SUMIFS('2024 FNDR'!AC$4:AC$396,'2024 FNDR'!$B$4:$B$396,$B$10,'2024 FNDR'!$C$4:$C$396,$C16)</f>
        <v>0</v>
      </c>
      <c r="T16" s="196">
        <f t="shared" si="4"/>
        <v>0</v>
      </c>
      <c r="U16" s="26">
        <f t="shared" si="5"/>
        <v>0</v>
      </c>
    </row>
    <row r="17" spans="2:21" ht="13.5" customHeight="1">
      <c r="B17" s="146"/>
      <c r="C17" s="148" t="s">
        <v>42</v>
      </c>
      <c r="D17" s="62" t="s">
        <v>43</v>
      </c>
      <c r="E17" s="29">
        <v>0</v>
      </c>
      <c r="F17" s="29">
        <f t="shared" si="7"/>
        <v>0</v>
      </c>
      <c r="G17" s="29">
        <v>0</v>
      </c>
      <c r="H17" s="47">
        <f>SUMIFS('2024 FNDR'!R$4:R$243,'2024 FNDR'!$B$4:$B$243,$B$10,'2024 FNDR'!$C$4:$C$243,$C$17)</f>
        <v>0</v>
      </c>
      <c r="I17" s="47">
        <f>SUMIFS('2024 FNDR'!S$4:S$243,'2024 FNDR'!$B$4:$B$243,$B$10,'2024 FNDR'!$C$4:$C$243,$C$17)</f>
        <v>0</v>
      </c>
      <c r="J17" s="47">
        <f>SUMIFS('2024 FNDR'!T$4:T$449,'2024 FNDR'!$B$4:$B$449,$B$10,'2024 FNDR'!$C$4:$C$449,$C17)</f>
        <v>0</v>
      </c>
      <c r="K17" s="47">
        <f>SUMIFS('2024 FNDR'!U$4:U$243,'2024 FNDR'!$B$4:$B$243,$B$10,'2024 FNDR'!$C$4:$C$243,$C$17)</f>
        <v>0</v>
      </c>
      <c r="L17" s="47">
        <f>SUMIFS('2024 FNDR'!V$4:V$396,'2024 FNDR'!$B$4:$B$396,$B$10,'2024 FNDR'!$C$4:$C$396,$C17)</f>
        <v>0</v>
      </c>
      <c r="M17" s="47">
        <f>SUMIFS('2024 FNDR'!W$4:W$396,'2024 FNDR'!$B$4:$B$396,$B$10,'2024 FNDR'!$C$4:$C$396,$C17)</f>
        <v>0</v>
      </c>
      <c r="N17" s="47">
        <f>SUMIFS('2024 FNDR'!X$4:X$396,'2024 FNDR'!$B$4:$B$396,$B$10,'2024 FNDR'!$C$4:$C$396,$C17)</f>
        <v>0</v>
      </c>
      <c r="O17" s="348">
        <f>SUMIFS('2024 FNDR'!Y$4:Y$433,'2024 FNDR'!$B$4:$B$433,$B$10,'2024 FNDR'!$C$4:$C$433,$C17)</f>
        <v>0</v>
      </c>
      <c r="P17" s="47">
        <f>SUMIFS('2024 FNDR'!Z$4:Z$396,'2024 FNDR'!$B$4:$B$396,$B$10,'2024 FNDR'!$C$4:$C$396,$C17)</f>
        <v>0</v>
      </c>
      <c r="Q17" s="47">
        <f>SUMIFS('2024 FNDR'!AA$4:AA$396,'2024 FNDR'!$B$4:$B$396,$B$10,'2024 FNDR'!$C$4:$C$396,$C17)</f>
        <v>0</v>
      </c>
      <c r="R17" s="47">
        <f>SUMIFS('2024 FNDR'!AB$4:AB$396,'2024 FNDR'!$B$4:$B$396,$B$10,'2024 FNDR'!$C$4:$C$396,$C17)</f>
        <v>0</v>
      </c>
      <c r="S17" s="47">
        <f>SUMIFS('2024 FNDR'!AC$4:AC$396,'2024 FNDR'!$B$4:$B$396,$B$10,'2024 FNDR'!$C$4:$C$396,$C17)</f>
        <v>0</v>
      </c>
      <c r="T17" s="196">
        <f t="shared" si="4"/>
        <v>0</v>
      </c>
      <c r="U17" s="26">
        <f t="shared" si="5"/>
        <v>0</v>
      </c>
    </row>
    <row r="18" spans="2:21" ht="13.5" customHeight="1">
      <c r="B18" s="146"/>
      <c r="C18" s="148" t="s">
        <v>44</v>
      </c>
      <c r="D18" s="62" t="s">
        <v>45</v>
      </c>
      <c r="E18" s="29">
        <v>0</v>
      </c>
      <c r="F18" s="29">
        <f t="shared" si="7"/>
        <v>0</v>
      </c>
      <c r="G18" s="29"/>
      <c r="H18" s="47">
        <f>SUMIFS('2024 FNDR'!R$4:R$243,'2024 FNDR'!$B$4:$B$243,$B$10,'2024 FNDR'!$C$4:$C$243,$C$18)</f>
        <v>0</v>
      </c>
      <c r="I18" s="47">
        <f>SUMIFS('2024 FNDR'!S$4:S$243,'2024 FNDR'!$B$4:$B$243,$B$10,'2024 FNDR'!$C$4:$C$243,$C$18)</f>
        <v>0</v>
      </c>
      <c r="J18" s="47">
        <f>SUMIFS('2024 FNDR'!T$4:T$449,'2024 FNDR'!$B$4:$B$449,$B$10,'2024 FNDR'!$C$4:$C$449,$C18)</f>
        <v>0</v>
      </c>
      <c r="K18" s="47">
        <f>SUMIFS('2024 FNDR'!U$4:U$243,'2024 FNDR'!$B$4:$B$243,$B$10,'2024 FNDR'!$C$4:$C$243,$C$18)</f>
        <v>0</v>
      </c>
      <c r="L18" s="47">
        <f>SUMIFS('2024 FNDR'!V$4:V$396,'2024 FNDR'!$B$4:$B$396,$B$10,'2024 FNDR'!$C$4:$C$396,$C18)</f>
        <v>0</v>
      </c>
      <c r="M18" s="47">
        <f>SUMIFS('2024 FNDR'!W$4:W$396,'2024 FNDR'!$B$4:$B$396,$B$10,'2024 FNDR'!$C$4:$C$396,$C18)</f>
        <v>0</v>
      </c>
      <c r="N18" s="47">
        <f>SUMIFS('2024 FNDR'!X$4:X$396,'2024 FNDR'!$B$4:$B$396,$B$10,'2024 FNDR'!$C$4:$C$396,$C18)</f>
        <v>0</v>
      </c>
      <c r="O18" s="348">
        <f>SUMIFS('2024 FNDR'!Y$4:Y$433,'2024 FNDR'!$B$4:$B$433,$B$10,'2024 FNDR'!$C$4:$C$433,$C18)</f>
        <v>0</v>
      </c>
      <c r="P18" s="47">
        <f>SUMIFS('2024 FNDR'!Z$4:Z$396,'2024 FNDR'!$B$4:$B$396,$B$10,'2024 FNDR'!$C$4:$C$396,$C18)</f>
        <v>0</v>
      </c>
      <c r="Q18" s="47">
        <f>SUMIFS('2024 FNDR'!AA$4:AA$396,'2024 FNDR'!$B$4:$B$396,$B$10,'2024 FNDR'!$C$4:$C$396,$C18)</f>
        <v>0</v>
      </c>
      <c r="R18" s="47">
        <f>SUMIFS('2024 FNDR'!AB$4:AB$396,'2024 FNDR'!$B$4:$B$396,$B$10,'2024 FNDR'!$C$4:$C$396,$C18)</f>
        <v>0</v>
      </c>
      <c r="S18" s="47">
        <f>SUMIFS('2024 FNDR'!AC$4:AC$396,'2024 FNDR'!$B$4:$B$396,$B$10,'2024 FNDR'!$C$4:$C$396,$C18)</f>
        <v>0</v>
      </c>
      <c r="T18" s="196">
        <f t="shared" si="4"/>
        <v>0</v>
      </c>
      <c r="U18" s="26">
        <f t="shared" si="5"/>
        <v>0</v>
      </c>
    </row>
    <row r="19" spans="2:21" ht="13.5" customHeight="1">
      <c r="B19" s="146"/>
      <c r="C19" s="146"/>
      <c r="D19" s="63"/>
      <c r="E19" s="27"/>
      <c r="F19" s="27"/>
      <c r="G19" s="27"/>
      <c r="H19" s="48"/>
      <c r="I19" s="197"/>
      <c r="J19" s="197"/>
      <c r="K19" s="197"/>
      <c r="L19" s="197"/>
      <c r="M19" s="197"/>
      <c r="N19" s="197"/>
      <c r="O19" s="350"/>
      <c r="P19" s="197"/>
      <c r="Q19" s="197"/>
      <c r="R19" s="197"/>
      <c r="S19" s="197"/>
      <c r="T19" s="197"/>
      <c r="U19" s="25"/>
    </row>
    <row r="20" spans="2:21" ht="13.5" customHeight="1">
      <c r="B20" s="155">
        <v>30</v>
      </c>
      <c r="C20" s="155"/>
      <c r="D20" s="153" t="s">
        <v>46</v>
      </c>
      <c r="E20" s="50">
        <f>+E21</f>
        <v>0</v>
      </c>
      <c r="F20" s="50">
        <f>+F21</f>
        <v>0</v>
      </c>
      <c r="G20" s="50">
        <f>+G21</f>
        <v>0</v>
      </c>
      <c r="H20" s="50"/>
      <c r="I20" s="50"/>
      <c r="J20" s="50"/>
      <c r="K20" s="50"/>
      <c r="L20" s="50"/>
      <c r="M20" s="50"/>
      <c r="N20" s="50"/>
      <c r="O20" s="347"/>
      <c r="P20" s="50"/>
      <c r="Q20" s="50"/>
      <c r="R20" s="50"/>
      <c r="S20" s="50"/>
      <c r="T20" s="50"/>
      <c r="U20" s="24">
        <f>SUM(U21)</f>
        <v>0</v>
      </c>
    </row>
    <row r="21" spans="2:21" ht="13.5" customHeight="1">
      <c r="B21" s="145"/>
      <c r="C21" s="148" t="s">
        <v>47</v>
      </c>
      <c r="D21" s="62" t="s">
        <v>48</v>
      </c>
      <c r="E21" s="26">
        <v>0</v>
      </c>
      <c r="F21" s="26">
        <v>0</v>
      </c>
      <c r="G21" s="26">
        <v>0</v>
      </c>
      <c r="H21" s="47">
        <f>SUMIFS('2024 FNDR'!R$4:R$243,'2024 FNDR'!$B$4:$B$243,$B$23,'2024 FNDR'!$C$4:$C$243,$C$21)</f>
        <v>0</v>
      </c>
      <c r="I21" s="47">
        <f>SUMIFS('2024 FNDR'!S$4:S$243,'2024 FNDR'!$B$4:$B$243,$B$23,'2024 FNDR'!$C$4:$C$243,$C$21)</f>
        <v>0</v>
      </c>
      <c r="J21" s="47">
        <f>SUMIFS('2024 FNDR'!T$4:T$243,'2024 FNDR'!$B$4:$B$243,$B$23,'2024 FNDR'!$C$4:$C$243,$C$21)</f>
        <v>0</v>
      </c>
      <c r="K21" s="47">
        <f>SUMIFS('2024 FNDR'!U$4:U$243,'2024 FNDR'!$B$4:$B$243,$B$23,'2024 FNDR'!$C$4:$C$243,$C$21)</f>
        <v>0</v>
      </c>
      <c r="L21" s="47">
        <f>SUMIFS('2024 FNDR'!V$4:V$396,'2024 FNDR'!$B$4:$B$396,$B$20,'2024 FNDR'!$C$4:$C$396,$C$21)</f>
        <v>0</v>
      </c>
      <c r="M21" s="47">
        <f>SUMIFS('2024 FNDR'!W$4:W$243,'2024 FNDR'!$B$4:$B$243,$B$23,'2024 FNDR'!$C$4:$C$243,$C$21)</f>
        <v>0</v>
      </c>
      <c r="N21" s="47">
        <f>SUMIFS('2024 FNDR'!X$4:X$243,'2024 FNDR'!$B$4:$B$243,$B$23,'2024 FNDR'!$C$4:$C$243,$C$21)</f>
        <v>0</v>
      </c>
      <c r="O21" s="348">
        <f>SUMIFS('2024 FNDR'!Y$4:Y$433,'2024 FNDR'!$B$4:$B$433,$B$23,'2024 FNDR'!$C$4:$C$433,$C$21)</f>
        <v>0</v>
      </c>
      <c r="P21" s="47">
        <f>SUMIFS('2024 FNDR'!Z$4:Z$243,'2024 FNDR'!$B$4:$B$243,$B$23,'2024 FNDR'!$C$4:$C$243,$C$21)</f>
        <v>0</v>
      </c>
      <c r="Q21" s="47">
        <f>SUMIFS('2024 FNDR'!AA$4:AA$243,'2024 FNDR'!$B$4:$B$243,$B$23,'2024 FNDR'!$C$4:$C$243,$C$21)</f>
        <v>0</v>
      </c>
      <c r="R21" s="47">
        <f>SUMIFS('2024 FNDR'!AB$4:AB$243,'2024 FNDR'!$B$4:$B$243,$B$23,'2024 FNDR'!$C$4:$C$243,$C$21)</f>
        <v>0</v>
      </c>
      <c r="S21" s="47">
        <f>SUMIFS('2024 FNDR'!AC$4:AC$243,'2024 FNDR'!$B$4:$B$243,$B$23,'2024 FNDR'!$C$4:$C$243,$C$21)</f>
        <v>0</v>
      </c>
      <c r="T21" s="196">
        <f>SUMIFS(H21:S21,$H$2:$S$2,"EJECUTADO")</f>
        <v>0</v>
      </c>
      <c r="U21" s="26">
        <f>+F21-T21</f>
        <v>0</v>
      </c>
    </row>
    <row r="22" spans="2:21" ht="13.5" customHeight="1">
      <c r="B22" s="145"/>
      <c r="C22" s="148"/>
      <c r="D22" s="62"/>
      <c r="E22" s="26"/>
      <c r="F22" s="26"/>
      <c r="G22" s="26"/>
      <c r="H22" s="47"/>
      <c r="I22" s="196"/>
      <c r="J22" s="196"/>
      <c r="K22" s="196"/>
      <c r="L22" s="196"/>
      <c r="M22" s="196"/>
      <c r="N22" s="196"/>
      <c r="O22" s="348"/>
      <c r="P22" s="196"/>
      <c r="Q22" s="196"/>
      <c r="R22" s="196"/>
      <c r="S22" s="196"/>
      <c r="T22" s="196"/>
      <c r="U22" s="26"/>
    </row>
    <row r="23" spans="2:21" ht="13.5" customHeight="1">
      <c r="B23" s="155">
        <v>31</v>
      </c>
      <c r="C23" s="155"/>
      <c r="D23" s="153" t="s">
        <v>49</v>
      </c>
      <c r="E23" s="50">
        <f>SUM(E24:E26)</f>
        <v>31271370</v>
      </c>
      <c r="F23" s="50">
        <f>SUM(F24:F26)</f>
        <v>34572147</v>
      </c>
      <c r="G23" s="50">
        <f>SUM(G24:G26)</f>
        <v>0</v>
      </c>
      <c r="H23" s="50">
        <f>SUM(H24:H26)</f>
        <v>0</v>
      </c>
      <c r="I23" s="50">
        <f t="shared" ref="I23:S23" si="8">SUM(I24:I26)</f>
        <v>0</v>
      </c>
      <c r="J23" s="50">
        <f t="shared" si="8"/>
        <v>4999665.7010000004</v>
      </c>
      <c r="K23" s="50">
        <f t="shared" si="8"/>
        <v>2992901.7779999999</v>
      </c>
      <c r="L23" s="50">
        <f t="shared" si="8"/>
        <v>2891727.4080000003</v>
      </c>
      <c r="M23" s="50">
        <f t="shared" si="8"/>
        <v>1609992.358</v>
      </c>
      <c r="N23" s="50">
        <f t="shared" si="8"/>
        <v>1830835.9330000002</v>
      </c>
      <c r="O23" s="50">
        <f t="shared" si="8"/>
        <v>873284.09</v>
      </c>
      <c r="P23" s="50">
        <f>SUM(P24:P26)</f>
        <v>1348368.2440000002</v>
      </c>
      <c r="Q23" s="50">
        <f t="shared" si="8"/>
        <v>481480.94</v>
      </c>
      <c r="R23" s="50">
        <f t="shared" si="8"/>
        <v>0</v>
      </c>
      <c r="S23" s="50">
        <f t="shared" si="8"/>
        <v>0</v>
      </c>
      <c r="T23" s="50">
        <f>SUM(T24:T26)</f>
        <v>17028256.452000003</v>
      </c>
      <c r="U23" s="24">
        <f>SUM(U24:U26)</f>
        <v>17543890.547999997</v>
      </c>
    </row>
    <row r="24" spans="2:21" ht="13.5" customHeight="1">
      <c r="B24" s="145"/>
      <c r="C24" s="148" t="s">
        <v>24</v>
      </c>
      <c r="D24" s="62" t="s">
        <v>50</v>
      </c>
      <c r="E24" s="26">
        <v>357977</v>
      </c>
      <c r="F24" s="26">
        <f>+E24</f>
        <v>357977</v>
      </c>
      <c r="G24" s="26"/>
      <c r="H24" s="47">
        <f>SUMIFS('2024 FNDR'!R$4:R$243,'2024 FNDR'!$B$4:$B$243,$B$23,'2024 FNDR'!$C$4:$C$243,$C$24)</f>
        <v>0</v>
      </c>
      <c r="I24" s="47">
        <f>SUMIFS('2024 FNDR'!S$4:S$243,'2024 FNDR'!$B$4:$B$243,$B$23,'2024 FNDR'!$C$4:$C$243,$C$24)</f>
        <v>0</v>
      </c>
      <c r="J24" s="47">
        <f>SUMIFS('2024 FNDR'!T$4:T$449,'2024 FNDR'!$B$4:$B$449,$B$23,'2024 FNDR'!$C$4:$C$449,$C24)</f>
        <v>0</v>
      </c>
      <c r="K24" s="47">
        <f>SUMIFS('2024 FNDR'!U$4:U$243,'2024 FNDR'!$B$4:$B$243,$B$23,'2024 FNDR'!$C$4:$C$243,$C$24)</f>
        <v>0</v>
      </c>
      <c r="L24" s="47">
        <f>SUMIFS('2024 FNDR'!V$4:V$396,'2024 FNDR'!$B$4:$B$396,$B$23,'2024 FNDR'!$C$4:$C$396,$C24)</f>
        <v>0</v>
      </c>
      <c r="M24" s="47">
        <f>SUMIFS('2024 FNDR'!W$4:W$396,'2024 FNDR'!$B$4:$B$396,$B$23,'2024 FNDR'!$C$4:$C$396,$C24)</f>
        <v>0</v>
      </c>
      <c r="N24" s="47">
        <f>SUMIFS('2024 FNDR'!X$4:X$396,'2024 FNDR'!$B$4:$B$396,$B$23,'2024 FNDR'!$C$4:$C$396,$C24)</f>
        <v>74425</v>
      </c>
      <c r="O24" s="196">
        <f>SUMIFS('2024 FNDR'!Y$4:Y$433,'2024 FNDR'!$B$4:$B$433,$B$23,'2024 FNDR'!$C$4:$C$433,$C24)</f>
        <v>0</v>
      </c>
      <c r="P24" s="47">
        <f>SUMIFS('2024 FNDR'!Z$4:Z$396,'2024 FNDR'!$B$4:$B$396,$B$23,'2024 FNDR'!$C$4:$C$396,$C24)</f>
        <v>0</v>
      </c>
      <c r="Q24" s="47">
        <f>SUMIFS('2024 FNDR'!AA$4:AA$396,'2024 FNDR'!$B$4:$B$396,$B$23,'2024 FNDR'!$C$4:$C$396,$C24)</f>
        <v>0</v>
      </c>
      <c r="R24" s="47">
        <f>SUMIFS('2024 FNDR'!AB$4:AB$396,'2024 FNDR'!$B$4:$B$396,$B$23,'2024 FNDR'!$C$4:$C$396,$C24)</f>
        <v>0</v>
      </c>
      <c r="S24" s="47">
        <f>SUMIFS('2024 FNDR'!AC$4:AC$396,'2024 FNDR'!$B$4:$B$396,$B$23,'2024 FNDR'!$C$4:$C$396,$C24)</f>
        <v>0</v>
      </c>
      <c r="T24" s="196">
        <f>SUMIFS(H24:S24,$H$2:$S$2,"EJECUTADO")</f>
        <v>74425</v>
      </c>
      <c r="U24" s="26">
        <f>+F24-T24</f>
        <v>283552</v>
      </c>
    </row>
    <row r="25" spans="2:21" ht="13.5" customHeight="1">
      <c r="B25" s="145"/>
      <c r="C25" s="148" t="s">
        <v>29</v>
      </c>
      <c r="D25" s="64" t="s">
        <v>51</v>
      </c>
      <c r="E25" s="26">
        <v>30913393</v>
      </c>
      <c r="F25" s="26">
        <v>34214170</v>
      </c>
      <c r="G25" s="26"/>
      <c r="H25" s="47">
        <f>SUMIFS('2024 FNDR'!R$4:R$243,'2024 FNDR'!$B$4:$B$243,$B$23,'2024 FNDR'!$C$4:$C$243,$C$25)</f>
        <v>0</v>
      </c>
      <c r="I25" s="47">
        <f>SUMIFS('2024 FNDR'!S$4:S$243,'2024 FNDR'!$B$4:$B$243,$B$23,'2024 FNDR'!$C$4:$C$243,$C$25)</f>
        <v>0</v>
      </c>
      <c r="J25" s="47">
        <f>SUMIFS('2024 FNDR'!T$4:T$449,'2024 FNDR'!$B$4:$B$449,$B$23,'2024 FNDR'!$C$4:$C$449,$C25)</f>
        <v>4999665.7010000004</v>
      </c>
      <c r="K25" s="47">
        <f>SUMIFS('2024 FNDR'!U$4:U$243,'2024 FNDR'!$B$4:$B$243,$B$23,'2024 FNDR'!$C$4:$C$243,$C$25)</f>
        <v>2992901.7779999999</v>
      </c>
      <c r="L25" s="47">
        <f>SUMIFS('2024 FNDR'!V$4:V$396,'2024 FNDR'!$B$4:$B$396,$B$23,'2024 FNDR'!$C$4:$C$396,$C25)</f>
        <v>2891727.4080000003</v>
      </c>
      <c r="M25" s="47">
        <f>SUMIFS('2024 FNDR'!W$4:W$396,'2024 FNDR'!$B$4:$B$396,$B$23,'2024 FNDR'!$C$4:$C$396,$C25)</f>
        <v>1609992.358</v>
      </c>
      <c r="N25" s="47">
        <f>SUMIFS('2024 FNDR'!X$4:X$396,'2024 FNDR'!$B$4:$B$396,$B$23,'2024 FNDR'!$C$4:$C$396,$C25)</f>
        <v>1756410.9330000002</v>
      </c>
      <c r="O25" s="196">
        <f>SUMIFS('2024 FNDR'!Y$4:Y$433,'2024 FNDR'!$B$4:$B$433,$B$23,'2024 FNDR'!$C$4:$C$433,$C25)</f>
        <v>873284.09</v>
      </c>
      <c r="P25" s="47">
        <f>SUMIFS('2024 FNDR'!Z$4:Z$396,'2024 FNDR'!$B$4:$B$396,$B$23,'2024 FNDR'!$C$4:$C$396,$C25)</f>
        <v>1348368.2440000002</v>
      </c>
      <c r="Q25" s="47">
        <f>SUMIFS('2024 FNDR'!AA$4:AA$396,'2024 FNDR'!$B$4:$B$396,$B$23,'2024 FNDR'!$C$4:$C$396,$C25)</f>
        <v>481480.94</v>
      </c>
      <c r="R25" s="47">
        <f>SUMIFS('2024 FNDR'!AB$4:AB$396,'2024 FNDR'!$B$4:$B$396,$B$23,'2024 FNDR'!$C$4:$C$396,$C25)</f>
        <v>0</v>
      </c>
      <c r="S25" s="47">
        <f>SUMIFS('2024 FNDR'!AC$4:AC$396,'2024 FNDR'!$B$4:$B$396,$B$23,'2024 FNDR'!$C$4:$C$396,$C25)</f>
        <v>0</v>
      </c>
      <c r="T25" s="196">
        <f>SUMIFS(H25:S25,$H$2:$S$2,"EJECUTADO")</f>
        <v>16953831.452000003</v>
      </c>
      <c r="U25" s="26">
        <f>+F25-T25</f>
        <v>17260338.547999997</v>
      </c>
    </row>
    <row r="26" spans="2:21" ht="13.5" customHeight="1">
      <c r="B26" s="145"/>
      <c r="C26" s="148" t="s">
        <v>26</v>
      </c>
      <c r="D26" s="64" t="s">
        <v>52</v>
      </c>
      <c r="E26" s="26">
        <v>0</v>
      </c>
      <c r="F26" s="26">
        <v>0</v>
      </c>
      <c r="G26" s="26">
        <v>0</v>
      </c>
      <c r="H26" s="47">
        <f>SUMIFS('2024 FNDR'!R$4:R$243,'2024 FNDR'!$B$4:$B$243,$B$23,'2024 FNDR'!$C$4:$C$243,$C$26)</f>
        <v>0</v>
      </c>
      <c r="I26" s="47">
        <f>SUMIFS('2024 FNDR'!S$4:S$243,'2024 FNDR'!$B$4:$B$243,$B$23,'2024 FNDR'!$C$4:$C$243,$C$26)</f>
        <v>0</v>
      </c>
      <c r="J26" s="47">
        <f>SUMIFS('2024 FNDR'!T$4:T$449,'2024 FNDR'!$B$4:$B$449,$B$23,'2024 FNDR'!$C$4:$C$449,$C26)</f>
        <v>0</v>
      </c>
      <c r="K26" s="47">
        <f>SUMIFS('2024 FNDR'!U$4:U$243,'2024 FNDR'!$B$4:$B$243,$B$23,'2024 FNDR'!$C$4:$C$243,$C$26)</f>
        <v>0</v>
      </c>
      <c r="L26" s="47">
        <f>SUMIFS('2024 FNDR'!V$4:V$396,'2024 FNDR'!$B$4:$B$396,$B$23,'2024 FNDR'!$C$4:$C$396,$C26)</f>
        <v>0</v>
      </c>
      <c r="M26" s="47">
        <f>SUMIFS('2024 FNDR'!W$4:W$396,'2024 FNDR'!$B$4:$B$396,$B$23,'2024 FNDR'!$C$4:$C$396,$C26)</f>
        <v>0</v>
      </c>
      <c r="N26" s="47">
        <f>SUMIFS('2024 FNDR'!X$4:X$396,'2024 FNDR'!$B$4:$B$396,$B$23,'2024 FNDR'!$C$4:$C$396,$C26)</f>
        <v>0</v>
      </c>
      <c r="O26" s="196">
        <f>SUMIFS('2024 FNDR'!Y$4:Y$433,'2024 FNDR'!$B$4:$B$433,$B$23,'2024 FNDR'!$C$4:$C$433,$C26)</f>
        <v>0</v>
      </c>
      <c r="P26" s="47">
        <f>SUMIFS('2024 FNDR'!Z$4:Z$396,'2024 FNDR'!$B$4:$B$396,$B$23,'2024 FNDR'!$C$4:$C$396,$C26)</f>
        <v>0</v>
      </c>
      <c r="Q26" s="47">
        <f>SUMIFS('2024 FNDR'!AA$4:AA$396,'2024 FNDR'!$B$4:$B$396,$B$23,'2024 FNDR'!$C$4:$C$396,$C26)</f>
        <v>0</v>
      </c>
      <c r="R26" s="47">
        <f>SUMIFS('2024 FNDR'!AB$4:AB$396,'2024 FNDR'!$B$4:$B$396,$B$23,'2024 FNDR'!$C$4:$C$396,$C26)</f>
        <v>0</v>
      </c>
      <c r="S26" s="47">
        <f>SUMIFS('2024 FNDR'!AC$4:AC$396,'2024 FNDR'!$B$4:$B$396,$B$23,'2024 FNDR'!$C$4:$C$396,$C26)</f>
        <v>0</v>
      </c>
      <c r="T26" s="196">
        <f>SUMIFS(H26:S26,$H$2:$S$2,"EJECUTADO")</f>
        <v>0</v>
      </c>
      <c r="U26" s="26">
        <f>+F26-T26</f>
        <v>0</v>
      </c>
    </row>
    <row r="27" spans="2:21" ht="13.5" customHeight="1">
      <c r="B27" s="146"/>
      <c r="C27" s="148"/>
      <c r="D27" s="64"/>
      <c r="E27" s="26"/>
      <c r="F27" s="26"/>
      <c r="G27" s="26"/>
      <c r="H27" s="47"/>
      <c r="I27" s="196"/>
      <c r="J27" s="196"/>
      <c r="K27" s="196"/>
      <c r="L27" s="196"/>
      <c r="M27" s="196"/>
      <c r="N27" s="196"/>
      <c r="O27" s="348"/>
      <c r="P27" s="196"/>
      <c r="Q27" s="196"/>
      <c r="R27" s="196"/>
      <c r="S27" s="196"/>
      <c r="T27" s="196"/>
      <c r="U27" s="26"/>
    </row>
    <row r="28" spans="2:21" ht="13.5" customHeight="1">
      <c r="B28" s="155">
        <v>32</v>
      </c>
      <c r="C28" s="158"/>
      <c r="D28" s="153" t="s">
        <v>53</v>
      </c>
      <c r="E28" s="50">
        <f>SUM(E29:E31)</f>
        <v>500000</v>
      </c>
      <c r="F28" s="50">
        <f>SUM(F29:F31)</f>
        <v>103045</v>
      </c>
      <c r="G28" s="50">
        <f>SUM(G29:G31)</f>
        <v>0</v>
      </c>
      <c r="H28" s="50">
        <f t="shared" ref="H28:S28" si="9">SUM(H29:H31)</f>
        <v>0</v>
      </c>
      <c r="I28" s="50">
        <f>SUM(I29:I31)</f>
        <v>0</v>
      </c>
      <c r="J28" s="50">
        <f t="shared" si="9"/>
        <v>0</v>
      </c>
      <c r="K28" s="50">
        <f>SUM(K29:K31)</f>
        <v>0</v>
      </c>
      <c r="L28" s="50">
        <f t="shared" si="9"/>
        <v>0</v>
      </c>
      <c r="M28" s="50">
        <f t="shared" si="9"/>
        <v>0</v>
      </c>
      <c r="N28" s="50">
        <f t="shared" si="9"/>
        <v>0</v>
      </c>
      <c r="O28" s="347">
        <f t="shared" si="9"/>
        <v>0</v>
      </c>
      <c r="P28" s="50">
        <f>SUM(P29:P31)</f>
        <v>0</v>
      </c>
      <c r="Q28" s="50">
        <f t="shared" si="9"/>
        <v>0</v>
      </c>
      <c r="R28" s="50">
        <f t="shared" si="9"/>
        <v>0</v>
      </c>
      <c r="S28" s="50">
        <f t="shared" si="9"/>
        <v>0</v>
      </c>
      <c r="T28" s="50">
        <f>SUM(T29:T30)</f>
        <v>0</v>
      </c>
      <c r="U28" s="24">
        <f>SUM(U29:U31)</f>
        <v>103045</v>
      </c>
    </row>
    <row r="29" spans="2:21" ht="13.5" customHeight="1">
      <c r="B29" s="145"/>
      <c r="C29" s="148" t="s">
        <v>39</v>
      </c>
      <c r="D29" s="64" t="s">
        <v>53</v>
      </c>
      <c r="E29" s="26">
        <v>500000</v>
      </c>
      <c r="F29" s="26">
        <f>+E29-396955</f>
        <v>103045</v>
      </c>
      <c r="G29" s="26"/>
      <c r="H29" s="47">
        <v>0</v>
      </c>
      <c r="I29" s="196">
        <v>0</v>
      </c>
      <c r="J29" s="196">
        <v>0</v>
      </c>
      <c r="K29" s="196">
        <v>0</v>
      </c>
      <c r="L29" s="196">
        <v>0</v>
      </c>
      <c r="M29" s="196">
        <v>0</v>
      </c>
      <c r="N29" s="196">
        <v>0</v>
      </c>
      <c r="O29" s="348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f>SUMIFS(H29:S29,$H$2:$S$2,"EJECUTADO")</f>
        <v>0</v>
      </c>
      <c r="U29" s="26">
        <f>+F29-T29</f>
        <v>103045</v>
      </c>
    </row>
    <row r="30" spans="2:21" ht="13.5" customHeight="1">
      <c r="B30" s="145"/>
      <c r="C30" s="148"/>
      <c r="D30" s="64" t="s">
        <v>54</v>
      </c>
      <c r="E30" s="26">
        <v>0</v>
      </c>
      <c r="F30" s="26">
        <f>SUM(E30:E30)</f>
        <v>0</v>
      </c>
      <c r="G30" s="26">
        <v>0</v>
      </c>
      <c r="H30" s="47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348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f>SUMIFS(H30:S30,$H$2:$S$2,"EJECUTADO")</f>
        <v>0</v>
      </c>
      <c r="U30" s="26">
        <f>+F30-T30</f>
        <v>0</v>
      </c>
    </row>
    <row r="31" spans="2:21" ht="13.5" customHeight="1">
      <c r="B31" s="145"/>
      <c r="C31" s="148"/>
      <c r="D31" s="64"/>
      <c r="E31" s="26"/>
      <c r="F31" s="26"/>
      <c r="G31" s="26"/>
      <c r="H31" s="47"/>
      <c r="I31" s="196"/>
      <c r="J31" s="196"/>
      <c r="K31" s="196"/>
      <c r="L31" s="196"/>
      <c r="M31" s="196"/>
      <c r="N31" s="196"/>
      <c r="O31" s="348"/>
      <c r="P31" s="196"/>
      <c r="Q31" s="196"/>
      <c r="R31" s="196"/>
      <c r="S31" s="196"/>
      <c r="T31" s="196"/>
      <c r="U31" s="26">
        <f>+F31-T31</f>
        <v>0</v>
      </c>
    </row>
    <row r="32" spans="2:21" ht="13.5" customHeight="1">
      <c r="B32" s="145"/>
      <c r="C32" s="148"/>
      <c r="D32" s="64"/>
      <c r="E32" s="30"/>
      <c r="F32" s="30"/>
      <c r="G32" s="30"/>
      <c r="H32" s="49"/>
      <c r="I32" s="196"/>
      <c r="J32" s="196"/>
      <c r="K32" s="196"/>
      <c r="L32" s="196"/>
      <c r="M32" s="196"/>
      <c r="N32" s="196"/>
      <c r="O32" s="348"/>
      <c r="P32" s="196"/>
      <c r="Q32" s="196"/>
      <c r="R32" s="196"/>
      <c r="S32" s="196"/>
      <c r="T32" s="196"/>
      <c r="U32" s="26"/>
    </row>
    <row r="33" spans="2:23" ht="13.5" customHeight="1">
      <c r="B33" s="155">
        <v>33</v>
      </c>
      <c r="C33" s="158"/>
      <c r="D33" s="153" t="s">
        <v>55</v>
      </c>
      <c r="E33" s="52">
        <f>E36+E34</f>
        <v>26278074</v>
      </c>
      <c r="F33" s="52">
        <f>SUM(F34:F36)</f>
        <v>21842489</v>
      </c>
      <c r="G33" s="52">
        <f>G34+G36+G35</f>
        <v>26278074</v>
      </c>
      <c r="H33" s="52">
        <f>SUM(H34:H36)</f>
        <v>0</v>
      </c>
      <c r="I33" s="50">
        <f t="shared" ref="I33:R33" si="10">SUM(I34:I36)</f>
        <v>245416.02499999999</v>
      </c>
      <c r="J33" s="50">
        <f t="shared" si="10"/>
        <v>354393.63500000001</v>
      </c>
      <c r="K33" s="50">
        <f>SUM(K34:K36)</f>
        <v>481006.31799999997</v>
      </c>
      <c r="L33" s="50">
        <f t="shared" si="10"/>
        <v>234818.652</v>
      </c>
      <c r="M33" s="50">
        <f>SUM(M34:M36)</f>
        <v>330547.56599999999</v>
      </c>
      <c r="N33" s="50">
        <f t="shared" si="10"/>
        <v>585396.4182999999</v>
      </c>
      <c r="O33" s="50">
        <f t="shared" si="10"/>
        <v>742741.82</v>
      </c>
      <c r="P33" s="50">
        <f>SUM(P34:P36)</f>
        <v>473520.75699999998</v>
      </c>
      <c r="Q33" s="50">
        <f t="shared" si="10"/>
        <v>713061.46899999981</v>
      </c>
      <c r="R33" s="50">
        <f t="shared" si="10"/>
        <v>0</v>
      </c>
      <c r="S33" s="50">
        <f>SUM(S34:S36)</f>
        <v>0</v>
      </c>
      <c r="T33" s="50">
        <f>+T36+T34+T35</f>
        <v>4160902.6602999996</v>
      </c>
      <c r="U33" s="24">
        <f>+U36+U34+U35</f>
        <v>17681586.339699998</v>
      </c>
    </row>
    <row r="34" spans="2:23" ht="13.5" customHeight="1">
      <c r="B34" s="145"/>
      <c r="C34" s="148" t="s">
        <v>24</v>
      </c>
      <c r="D34" s="64" t="s">
        <v>25</v>
      </c>
      <c r="E34" s="26">
        <v>1318400</v>
      </c>
      <c r="F34" s="26">
        <v>1570587</v>
      </c>
      <c r="G34" s="26">
        <v>1318400</v>
      </c>
      <c r="H34" s="47">
        <f>SUMIFS('2024 FNDR'!R$4:R$243,'2024 FNDR'!$B$4:$B$243,$B$33,'2024 FNDR'!$C$4:$C$243,$C$34)</f>
        <v>0</v>
      </c>
      <c r="I34" s="47">
        <f>SUMIFS('2024 FNDR'!S$4:S$243,'2024 FNDR'!$B$4:$B$243,$B$33,'2024 FNDR'!$C$4:$C$243,$C$34)</f>
        <v>0</v>
      </c>
      <c r="J34" s="47">
        <f>SUMIFS('2024 FNDR'!T$4:T$449,'2024 FNDR'!$B$4:$B$449,$B$33,'2024 FNDR'!$C$4:$C$449,$C34)</f>
        <v>0</v>
      </c>
      <c r="K34" s="47">
        <f>SUMIFS('2024 FNDR'!U$4:U$243,'2024 FNDR'!$B$4:$B$243,$B$33,'2024 FNDR'!$C$4:$C$243,$C$34)</f>
        <v>0</v>
      </c>
      <c r="L34" s="47">
        <f>SUMIFS('2024 FNDR'!V$4:V$396,'2024 FNDR'!$B$4:$B$396,$B$33,'2024 FNDR'!$C$4:$C$396,$C34)</f>
        <v>0</v>
      </c>
      <c r="M34" s="47">
        <f>SUMIFS('2024 FNDR'!W$4:W$396,'2024 FNDR'!$B$4:$B$396,$B$33,'2024 FNDR'!$C$4:$C$396,$C34)</f>
        <v>0</v>
      </c>
      <c r="N34" s="47">
        <f>SUMIFS('2024 FNDR'!X$4:X$396,'2024 FNDR'!$B$4:$B$396,$B$33,'2024 FNDR'!$C$4:$C$396,$C34)</f>
        <v>10983.021000000001</v>
      </c>
      <c r="O34" s="196">
        <f>SUMIFS('2024 FNDR'!Y$4:Y$433,'2024 FNDR'!$B$4:$B$433,$B$33,'2024 FNDR'!$C$4:$C$433,$C34)</f>
        <v>17583.564999999999</v>
      </c>
      <c r="P34" s="47">
        <f>SUMIFS('2024 FNDR'!Z$4:Z$396,'2024 FNDR'!$B$4:$B$396,$B$33,'2024 FNDR'!$C$4:$C$396,$C34)</f>
        <v>0</v>
      </c>
      <c r="Q34" s="47">
        <f>SUMIFS('2024 FNDR'!AA$4:AA$396,'2024 FNDR'!$B$4:$B$396,$B$33,'2024 FNDR'!$C$4:$C$396,$C34)</f>
        <v>19010.021000000001</v>
      </c>
      <c r="R34" s="47">
        <f>SUMIFS('2024 FNDR'!AB$4:AB$396,'2024 FNDR'!$B$4:$B$396,$B$33,'2024 FNDR'!$C$4:$C$396,$C34)</f>
        <v>0</v>
      </c>
      <c r="S34" s="47">
        <f>SUMIFS('2024 FNDR'!AC$4:AC$396,'2024 FNDR'!$B$4:$B$396,$B$33,'2024 FNDR'!$C$4:$C$396,$C34)</f>
        <v>0</v>
      </c>
      <c r="T34" s="196">
        <f>SUMIFS(H34:S34,$H$2:$S$2,"EJECUTADO")</f>
        <v>47576.607000000004</v>
      </c>
      <c r="U34" s="26">
        <f>+F34-T34</f>
        <v>1523010.3929999999</v>
      </c>
    </row>
    <row r="35" spans="2:23" ht="13.5" customHeight="1">
      <c r="B35" s="145"/>
      <c r="C35" s="148" t="s">
        <v>29</v>
      </c>
      <c r="D35" s="64" t="s">
        <v>56</v>
      </c>
      <c r="E35" s="26">
        <v>0</v>
      </c>
      <c r="F35" s="26">
        <v>0</v>
      </c>
      <c r="G35" s="26">
        <v>0</v>
      </c>
      <c r="H35" s="47">
        <f>SUMIFS('2024 FNDR'!R$4:R$243,'2024 FNDR'!$B$4:$B$243,$B$33,'2024 FNDR'!$C$4:$C$243,$C$35)</f>
        <v>0</v>
      </c>
      <c r="I35" s="47">
        <f>SUMIFS('2024 FNDR'!S$4:S$243,'2024 FNDR'!$B$4:$B$243,$B$33,'2024 FNDR'!$C$4:$C$243,$C$35)</f>
        <v>0</v>
      </c>
      <c r="J35" s="47">
        <f>SUMIFS('2024 FNDR'!T$4:T$449,'2024 FNDR'!$B$4:$B$449,$B$33,'2024 FNDR'!$C$4:$C$449,$C35)</f>
        <v>0</v>
      </c>
      <c r="K35" s="47">
        <f>SUMIFS('2024 FNDR'!U$4:U$243,'2024 FNDR'!$B$4:$B$243,$B$33,'2024 FNDR'!$C$4:$C$243,$C$35)</f>
        <v>0</v>
      </c>
      <c r="L35" s="47">
        <f>SUMIFS('2024 FNDR'!V$4:V$396,'2024 FNDR'!$B$4:$B$396,$B$33,'2024 FNDR'!$C$4:$C$396,$C35)</f>
        <v>0</v>
      </c>
      <c r="M35" s="47">
        <f>SUMIFS('2024 FNDR'!W$4:W$396,'2024 FNDR'!$B$4:$B$396,$B$33,'2024 FNDR'!$C$4:$C$396,$C35)</f>
        <v>0</v>
      </c>
      <c r="N35" s="47">
        <f>SUMIFS('2024 FNDR'!X$4:X$396,'2024 FNDR'!$B$4:$B$396,$B$33,'2024 FNDR'!$C$4:$C$396,$C35)</f>
        <v>0</v>
      </c>
      <c r="O35" s="196">
        <f>SUMIFS('2024 FNDR'!Y$4:Y$433,'2024 FNDR'!$B$4:$B$433,$B$33,'2024 FNDR'!$C$4:$C$433,$C35)</f>
        <v>0</v>
      </c>
      <c r="P35" s="47">
        <f>SUMIFS('2024 FNDR'!Z$4:Z$396,'2024 FNDR'!$B$4:$B$396,$B$33,'2024 FNDR'!$C$4:$C$396,$C35)</f>
        <v>0</v>
      </c>
      <c r="Q35" s="47">
        <f>SUMIFS('2024 FNDR'!AA$4:AA$396,'2024 FNDR'!$B$4:$B$396,$B$33,'2024 FNDR'!$C$4:$C$396,$C35)</f>
        <v>0</v>
      </c>
      <c r="R35" s="47">
        <f>SUMIFS('2024 FNDR'!AB$4:AB$396,'2024 FNDR'!$B$4:$B$396,$B$33,'2024 FNDR'!$C$4:$C$396,$C35)</f>
        <v>0</v>
      </c>
      <c r="S35" s="47">
        <f>SUMIFS('2024 FNDR'!AC$4:AC$396,'2024 FNDR'!$B$4:$B$396,$B$33,'2024 FNDR'!$C$4:$C$396,$C35)</f>
        <v>0</v>
      </c>
      <c r="T35" s="196">
        <f>SUMIFS(H35:S35,$H$2:$S$2,"EJECUTADO")</f>
        <v>0</v>
      </c>
      <c r="U35" s="26">
        <f>+F35-T35</f>
        <v>0</v>
      </c>
    </row>
    <row r="36" spans="2:23" ht="13.5" customHeight="1">
      <c r="B36" s="145"/>
      <c r="C36" s="148" t="s">
        <v>26</v>
      </c>
      <c r="D36" s="64" t="s">
        <v>57</v>
      </c>
      <c r="E36" s="26">
        <v>24959674</v>
      </c>
      <c r="F36" s="26">
        <v>20271902</v>
      </c>
      <c r="G36" s="26">
        <v>24959674</v>
      </c>
      <c r="H36" s="47">
        <f>SUMIFS('2024 FNDR'!R$4:R$243,'2024 FNDR'!$B$4:$B$243,$B$33,'2024 FNDR'!$C$4:$C$243,$C$36)</f>
        <v>0</v>
      </c>
      <c r="I36" s="47">
        <f>SUMIFS('2024 FNDR'!S$4:S$455,'2024 FNDR'!$B$4:$B$455,$B$33,'2024 FNDR'!$C$4:$C$455,$C$36)</f>
        <v>245416.02499999999</v>
      </c>
      <c r="J36" s="47">
        <f>SUMIFS('2024 FNDR'!T$4:T$449,'2024 FNDR'!$B$4:$B$449,$B$33,'2024 FNDR'!$C$4:$C$449,$C36)</f>
        <v>354393.63500000001</v>
      </c>
      <c r="K36" s="47">
        <f>SUMIFS('2024 FNDR'!U$4:U$455,'2024 FNDR'!$B$4:$B$455,$B$33,'2024 FNDR'!$C$4:$C$455,$C$36)</f>
        <v>481006.31799999997</v>
      </c>
      <c r="L36" s="47">
        <f>SUMIFS('2024 FNDR'!V$4:V$396,'2024 FNDR'!$B$4:$B$396,$B$33,'2024 FNDR'!$C$4:$C$396,$C36)</f>
        <v>234818.652</v>
      </c>
      <c r="M36" s="47">
        <f>SUMIFS('2024 FNDR'!W$4:W$396,'2024 FNDR'!$B$4:$B$396,$B$33,'2024 FNDR'!$C$4:$C$396,$C36)</f>
        <v>330547.56599999999</v>
      </c>
      <c r="N36" s="47">
        <f>SUMIFS('2024 FNDR'!X$4:X$396,'2024 FNDR'!$B$4:$B$396,$B$33,'2024 FNDR'!$C$4:$C$396,$C36)</f>
        <v>574413.39729999995</v>
      </c>
      <c r="O36" s="196">
        <f>SUMIFS('2024 FNDR'!Y$4:Y$433,'2024 FNDR'!$B$4:$B$433,$B$33,'2024 FNDR'!$C$4:$C$433,$C36)</f>
        <v>725158.255</v>
      </c>
      <c r="P36" s="47">
        <f>SUMIFS('2024 FNDR'!Z$4:Z$396,'2024 FNDR'!$B$4:$B$396,$B$33,'2024 FNDR'!$C$4:$C$396,$C36)</f>
        <v>473520.75699999998</v>
      </c>
      <c r="Q36" s="47">
        <f>SUMIFS('2024 FNDR'!AA$4:AA$396,'2024 FNDR'!$B$4:$B$396,$B$33,'2024 FNDR'!$C$4:$C$396,$C36)</f>
        <v>694051.44799999986</v>
      </c>
      <c r="R36" s="47">
        <f>SUMIFS('2024 FNDR'!AB$4:AB$396,'2024 FNDR'!$B$4:$B$396,$B$33,'2024 FNDR'!$C$4:$C$396,$C36)</f>
        <v>0</v>
      </c>
      <c r="S36" s="47">
        <f>SUMIFS('2024 FNDR'!AC$4:AC$396,'2024 FNDR'!$B$4:$B$396,$B$33,'2024 FNDR'!$C$4:$C$396,$C36)</f>
        <v>0</v>
      </c>
      <c r="T36" s="196">
        <f>SUMIFS(H36:S36,$H$2:$S$2,"EJECUTADO")</f>
        <v>4113326.0532999998</v>
      </c>
      <c r="U36" s="26">
        <f>+F36-T36</f>
        <v>16158575.946699999</v>
      </c>
    </row>
    <row r="37" spans="2:23" ht="13.5" customHeight="1">
      <c r="B37" s="145"/>
      <c r="C37" s="148"/>
      <c r="D37" s="64"/>
      <c r="E37" s="26"/>
      <c r="F37" s="26"/>
      <c r="G37" s="26"/>
      <c r="H37" s="47"/>
      <c r="I37" s="196"/>
      <c r="J37" s="196"/>
      <c r="K37" s="196"/>
      <c r="L37" s="196"/>
      <c r="M37" s="196"/>
      <c r="N37" s="196"/>
      <c r="O37" s="348"/>
      <c r="P37" s="196"/>
      <c r="Q37" s="196"/>
      <c r="R37" s="196"/>
      <c r="S37" s="196"/>
      <c r="T37" s="196"/>
      <c r="U37" s="26"/>
    </row>
    <row r="38" spans="2:23" ht="13.5" customHeight="1">
      <c r="B38" s="155">
        <v>34</v>
      </c>
      <c r="C38" s="158"/>
      <c r="D38" s="153" t="s">
        <v>58</v>
      </c>
      <c r="E38" s="52">
        <f>+E39</f>
        <v>0</v>
      </c>
      <c r="F38" s="52">
        <f>+F39+9370563</f>
        <v>9370563</v>
      </c>
      <c r="G38" s="52">
        <f>+G39</f>
        <v>0</v>
      </c>
      <c r="H38" s="52">
        <f>+H39</f>
        <v>9370562.2540000007</v>
      </c>
      <c r="I38" s="52">
        <f>+I39</f>
        <v>0</v>
      </c>
      <c r="J38" s="52">
        <f t="shared" ref="J38:S38" si="11">+J39</f>
        <v>0</v>
      </c>
      <c r="K38" s="52">
        <f t="shared" si="11"/>
        <v>0</v>
      </c>
      <c r="L38" s="52">
        <f t="shared" si="11"/>
        <v>0</v>
      </c>
      <c r="M38" s="52">
        <f t="shared" si="11"/>
        <v>0</v>
      </c>
      <c r="N38" s="52">
        <f t="shared" si="11"/>
        <v>0</v>
      </c>
      <c r="O38" s="347">
        <f t="shared" si="11"/>
        <v>0</v>
      </c>
      <c r="P38" s="52">
        <f t="shared" si="11"/>
        <v>0</v>
      </c>
      <c r="Q38" s="52">
        <f t="shared" si="11"/>
        <v>0</v>
      </c>
      <c r="R38" s="52">
        <f t="shared" si="11"/>
        <v>0</v>
      </c>
      <c r="S38" s="52">
        <f t="shared" si="11"/>
        <v>0</v>
      </c>
      <c r="T38" s="50">
        <f>SUMIFS(H38:S38,$H$2:$S$2,"EJECUTADO")</f>
        <v>9370562.2540000007</v>
      </c>
      <c r="U38" s="24">
        <f>+F38-T38</f>
        <v>0.74599999934434891</v>
      </c>
    </row>
    <row r="39" spans="2:23" ht="13.5" customHeight="1">
      <c r="B39" s="145"/>
      <c r="C39" s="148" t="s">
        <v>42</v>
      </c>
      <c r="D39" s="64" t="s">
        <v>59</v>
      </c>
      <c r="E39" s="26">
        <v>0</v>
      </c>
      <c r="F39" s="26"/>
      <c r="G39" s="26">
        <f>+F39</f>
        <v>0</v>
      </c>
      <c r="H39" s="47">
        <v>9370562.2540000007</v>
      </c>
      <c r="I39" s="196">
        <f>SUMIFS('2024 FNDR'!S$4:S$243,'2024 FNDR'!$B$4:$B$243,$B$38,'2024 FNDR'!$C$4:$C$243,$C$39)</f>
        <v>0</v>
      </c>
      <c r="J39" s="196">
        <f>SUMIFS('2024 FNDR'!T$4:T$243,'2024 FNDR'!$B$4:$B$243,$B$38,'2024 FNDR'!$C$4:$C$243,$C$39)</f>
        <v>0</v>
      </c>
      <c r="K39" s="196">
        <f>SUMIFS('2024 FNDR'!U$4:U$243,'2024 FNDR'!$B$4:$B$243,$B$38,'2024 FNDR'!$C$4:$C$243,$C$39)</f>
        <v>0</v>
      </c>
      <c r="L39" s="196">
        <f>SUMIFS('2024 FNDR'!V$4:V$243,'2024 FNDR'!$B$4:$B$243,$B$38,'2024 FNDR'!$C$4:$C$243,$C$39)</f>
        <v>0</v>
      </c>
      <c r="M39" s="196">
        <f>SUMIFS('2024 FNDR'!W$4:W$243,'2024 FNDR'!$B$4:$B$243,$B$38,'2024 FNDR'!$C$4:$C$243,$C$39)</f>
        <v>0</v>
      </c>
      <c r="N39" s="196">
        <f>SUMIFS('2024 FNDR'!X$4:X$243,'2024 FNDR'!$B$4:$B$243,$B$38,'2024 FNDR'!$C$4:$C$243,$C$39)</f>
        <v>0</v>
      </c>
      <c r="O39" s="348">
        <f>SUMIFS('2024 FNDR'!Y$4:Y$433,'2024 FNDR'!$B$4:$B$433,$B$38,'2024 FNDR'!$C$4:$C$433,$C$39)</f>
        <v>0</v>
      </c>
      <c r="P39" s="196">
        <f>SUMIFS('2024 FNDR'!Z$4:Z$243,'2024 FNDR'!$B$4:$B$243,$B$38,'2024 FNDR'!$C$4:$C$243,$C$39)</f>
        <v>0</v>
      </c>
      <c r="Q39" s="196">
        <f>SUMIFS('2024 FNDR'!AA$4:AA$243,'2024 FNDR'!$B$4:$B$243,$B$38,'2024 FNDR'!$C$4:$C$243,$C$39)</f>
        <v>0</v>
      </c>
      <c r="R39" s="196">
        <f>SUMIFS('2024 FNDR'!AB$4:AB$243,'2024 FNDR'!$B$4:$B$243,$B$38,'2024 FNDR'!$C$4:$C$243,$C$39)</f>
        <v>0</v>
      </c>
      <c r="S39" s="196">
        <f>SUMIFS('2024 FNDR'!AC$4:AC$243,'2024 FNDR'!$B$4:$B$243,$B$38,'2024 FNDR'!$C$4:$C$243,$C$39)</f>
        <v>0</v>
      </c>
      <c r="T39" s="199">
        <f>SUMIFS(H39:S39,$H$2:$S$2,"EJECUTADO")</f>
        <v>9370562.2540000007</v>
      </c>
      <c r="U39" s="24"/>
    </row>
    <row r="40" spans="2:23" ht="13.5" customHeight="1">
      <c r="B40" s="145"/>
      <c r="C40" s="148"/>
      <c r="D40" s="64"/>
      <c r="E40" s="30"/>
      <c r="F40" s="30"/>
      <c r="G40" s="30"/>
      <c r="H40" s="49"/>
      <c r="I40" s="196"/>
      <c r="J40" s="196"/>
      <c r="K40" s="196"/>
      <c r="L40" s="196"/>
      <c r="M40" s="196"/>
      <c r="N40" s="196"/>
      <c r="O40" s="348"/>
      <c r="P40" s="196"/>
      <c r="Q40" s="196"/>
      <c r="R40" s="196"/>
      <c r="S40" s="196"/>
      <c r="T40" s="196"/>
      <c r="U40" s="26"/>
    </row>
    <row r="41" spans="2:23" ht="13.5" customHeight="1">
      <c r="B41" s="155">
        <v>35</v>
      </c>
      <c r="C41" s="158"/>
      <c r="D41" s="153" t="s">
        <v>60</v>
      </c>
      <c r="E41" s="52">
        <v>0</v>
      </c>
      <c r="F41" s="52"/>
      <c r="G41" s="52">
        <f>+F41</f>
        <v>0</v>
      </c>
      <c r="H41" s="52">
        <v>0</v>
      </c>
      <c r="I41" s="50">
        <v>0</v>
      </c>
      <c r="J41" s="50">
        <v>0</v>
      </c>
      <c r="K41" s="50"/>
      <c r="L41" s="50"/>
      <c r="M41" s="50"/>
      <c r="N41" s="50"/>
      <c r="O41" s="347"/>
      <c r="P41" s="50"/>
      <c r="Q41" s="50"/>
      <c r="R41" s="50"/>
      <c r="S41" s="50"/>
      <c r="T41" s="50">
        <f>SUMIFS(H41:S41,$H$2:$S$2,"EJECUTADO")</f>
        <v>0</v>
      </c>
      <c r="U41" s="24">
        <f>+F41-T41</f>
        <v>0</v>
      </c>
    </row>
    <row r="42" spans="2:23" ht="13.5" customHeight="1">
      <c r="B42" s="149"/>
      <c r="C42" s="150"/>
      <c r="D42" s="65" t="s">
        <v>61</v>
      </c>
      <c r="E42" s="53">
        <f>+E23+E28+E33+E41+E38+E5+E10+E4+E20</f>
        <v>88663474</v>
      </c>
      <c r="F42" s="53">
        <f>+F23+F28+F33+F41+F38+F5+F10+F4+F20+F8</f>
        <v>96502274</v>
      </c>
      <c r="G42" s="53">
        <f>+G23+FG1537+G33+G41+G38+G5+G10+G4+G8+G28</f>
        <v>43932081</v>
      </c>
      <c r="H42" s="53">
        <f t="shared" ref="H42:K42" si="12">+H23+H28+H8+H33+H41+H38+H5+H10+H4</f>
        <v>9370562.2540000007</v>
      </c>
      <c r="I42" s="53">
        <f t="shared" si="12"/>
        <v>861686.02500000002</v>
      </c>
      <c r="J42" s="53">
        <f t="shared" si="12"/>
        <v>6033205.426</v>
      </c>
      <c r="K42" s="53">
        <f t="shared" si="12"/>
        <v>3502963.6749999998</v>
      </c>
      <c r="L42" s="53">
        <f>+L23+L28+L8+L33+L41+L38+L5+L10+L4</f>
        <v>3302436.8030000003</v>
      </c>
      <c r="M42" s="53">
        <f>+M23+M28+M8+M33+M41+M38+M5+M10+M4</f>
        <v>2054275.7450000001</v>
      </c>
      <c r="N42" s="53">
        <f>+N23+N28+N8+N33+N41+N38+N5+N10+N4</f>
        <v>3058987.9713000003</v>
      </c>
      <c r="O42" s="53">
        <f t="shared" ref="O42:S42" si="13">+O23+O28+O8+O33+O41+O38+O5+O10+O4</f>
        <v>3157186.1189999999</v>
      </c>
      <c r="P42" s="53">
        <f t="shared" si="13"/>
        <v>3517356.4910000004</v>
      </c>
      <c r="Q42" s="53">
        <f t="shared" si="13"/>
        <v>2064676.9759999998</v>
      </c>
      <c r="R42" s="53">
        <f t="shared" si="13"/>
        <v>0</v>
      </c>
      <c r="S42" s="53">
        <f t="shared" si="13"/>
        <v>0</v>
      </c>
      <c r="T42" s="53">
        <f>+T23+T28+T33+T41+T38+T5+T10+T4+T8</f>
        <v>36923337.485300004</v>
      </c>
      <c r="U42" s="53">
        <f>+U23+U28+U33+U41+U38+U5+U10+U4+U8+U20</f>
        <v>59578936.514699988</v>
      </c>
    </row>
    <row r="43" spans="2:23" ht="13.5" customHeight="1">
      <c r="B43" s="39"/>
      <c r="C43" s="32"/>
      <c r="D43" s="75" t="s">
        <v>62</v>
      </c>
      <c r="E43" s="76">
        <f>+E4+E5+E10+E23+E33</f>
        <v>88163474</v>
      </c>
      <c r="F43" s="76">
        <f>+F4+F5+F8+F10+F23+F33</f>
        <v>87028666</v>
      </c>
      <c r="G43" s="76">
        <f>+G4+G5+G10+G23+G33</f>
        <v>43932081</v>
      </c>
      <c r="H43" s="55">
        <f t="shared" ref="H43:K43" si="14">+H4+H5+H8+H10+H23+H34+H36</f>
        <v>0</v>
      </c>
      <c r="I43" s="55">
        <f t="shared" si="14"/>
        <v>861686.02500000002</v>
      </c>
      <c r="J43" s="55">
        <f t="shared" si="14"/>
        <v>6033205.426</v>
      </c>
      <c r="K43" s="55">
        <f t="shared" si="14"/>
        <v>3502963.6749999998</v>
      </c>
      <c r="L43" s="55">
        <f>+L4+L5+L8+L10+L23+L34+L36</f>
        <v>3302436.8030000003</v>
      </c>
      <c r="M43" s="55">
        <f>+M4+M5+M8+M10+M23+M34+M36</f>
        <v>2054275.7450000001</v>
      </c>
      <c r="N43" s="55">
        <f>+N4+N5+N8+N10+N23+N34+N36</f>
        <v>3058987.9713000003</v>
      </c>
      <c r="O43" s="55">
        <f t="shared" ref="O43:S43" si="15">+O4+O5+O8+O10+O23+O34+O36</f>
        <v>3157186.1189999999</v>
      </c>
      <c r="P43" s="55">
        <f t="shared" si="15"/>
        <v>3517356.4910000004</v>
      </c>
      <c r="Q43" s="55">
        <f t="shared" si="15"/>
        <v>2064676.9759999998</v>
      </c>
      <c r="R43" s="55">
        <f t="shared" si="15"/>
        <v>0</v>
      </c>
      <c r="S43" s="55">
        <f t="shared" si="15"/>
        <v>0</v>
      </c>
      <c r="T43" s="55">
        <f>+T4+T5+T10+T23+T34+T36+T8</f>
        <v>27552775.231300004</v>
      </c>
      <c r="U43" s="31">
        <f>+U4+U5+U10+U23+U8+U34+U36</f>
        <v>59475890.768699996</v>
      </c>
    </row>
    <row r="44" spans="2:23" ht="14.25" customHeight="1">
      <c r="B44" s="39"/>
      <c r="C44" s="32"/>
      <c r="D44" s="189"/>
      <c r="E44" s="34"/>
      <c r="F44" s="34"/>
      <c r="G44" s="34"/>
      <c r="H44" s="253">
        <f>+H42/$F$42</f>
        <v>9.7101983876566475E-2</v>
      </c>
      <c r="I44" s="253">
        <f t="shared" ref="I44:S44" si="16">+I42/$F$42</f>
        <v>8.9291784460954777E-3</v>
      </c>
      <c r="J44" s="253">
        <f t="shared" si="16"/>
        <v>6.2518790241150174E-2</v>
      </c>
      <c r="K44" s="253">
        <f t="shared" si="16"/>
        <v>3.629928632562586E-2</v>
      </c>
      <c r="L44" s="253">
        <f t="shared" si="16"/>
        <v>3.4221336618451087E-2</v>
      </c>
      <c r="M44" s="253">
        <f t="shared" si="16"/>
        <v>2.1287329923437869E-2</v>
      </c>
      <c r="N44" s="253">
        <f t="shared" si="16"/>
        <v>3.1698610245184486E-2</v>
      </c>
      <c r="O44" s="253">
        <f t="shared" si="16"/>
        <v>3.271618365179664E-2</v>
      </c>
      <c r="P44" s="253">
        <f t="shared" si="16"/>
        <v>3.6448431163394142E-2</v>
      </c>
      <c r="Q44" s="253">
        <f t="shared" si="16"/>
        <v>2.1395112160776643E-2</v>
      </c>
      <c r="R44" s="253">
        <f t="shared" si="16"/>
        <v>0</v>
      </c>
      <c r="S44" s="253">
        <f t="shared" si="16"/>
        <v>0</v>
      </c>
      <c r="T44" s="263">
        <f>(T42/F42)</f>
        <v>0.3826162426524789</v>
      </c>
      <c r="U44" s="188"/>
    </row>
    <row r="45" spans="2:23" ht="13.5" hidden="1" customHeight="1">
      <c r="B45" s="60"/>
      <c r="C45" s="60"/>
      <c r="D45" s="66"/>
      <c r="E45" s="34"/>
      <c r="F45" s="3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46" t="s">
        <v>63</v>
      </c>
      <c r="T45" s="35">
        <f>+T42</f>
        <v>36923337.485300004</v>
      </c>
      <c r="U45" s="35">
        <f>+U42</f>
        <v>59578936.514699988</v>
      </c>
    </row>
    <row r="46" spans="2:23" ht="24.75" customHeight="1">
      <c r="B46" s="60"/>
      <c r="C46" s="60"/>
      <c r="E46" s="43"/>
      <c r="F46" s="4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4" t="s">
        <v>64</v>
      </c>
      <c r="T46" s="262">
        <f>+T45/F42</f>
        <v>0.3826162426524789</v>
      </c>
      <c r="U46" s="36">
        <f>U45/F42</f>
        <v>0.61738375734752104</v>
      </c>
      <c r="W46" s="275"/>
    </row>
    <row r="47" spans="2:23" ht="20.25" customHeight="1">
      <c r="B47" s="60"/>
      <c r="C47" s="60"/>
      <c r="E47" s="43"/>
      <c r="F47" s="4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44" t="s">
        <v>65</v>
      </c>
      <c r="T47" s="261">
        <f>+T43/F43</f>
        <v>0.31659424989117957</v>
      </c>
      <c r="U47" s="36">
        <f>U43/F43</f>
        <v>0.68340575010882043</v>
      </c>
    </row>
    <row r="48" spans="2:23" ht="13.5" customHeight="1">
      <c r="B48" s="60"/>
      <c r="C48" s="60"/>
      <c r="D48" s="279"/>
      <c r="E48" s="279"/>
      <c r="F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5" t="s">
        <v>66</v>
      </c>
      <c r="T48" s="56">
        <f>(12/12)</f>
        <v>1</v>
      </c>
      <c r="U48" s="36">
        <f>1/12</f>
        <v>8.3333333333333329E-2</v>
      </c>
    </row>
    <row r="49" spans="2:21" ht="13.5" customHeight="1">
      <c r="B49" s="60"/>
      <c r="C49" s="60"/>
      <c r="D49" s="67"/>
      <c r="E49" s="33"/>
      <c r="F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42" t="s">
        <v>67</v>
      </c>
      <c r="T49" s="249">
        <f>T46-T48</f>
        <v>-0.61738375734752116</v>
      </c>
      <c r="U49" s="38"/>
    </row>
    <row r="50" spans="2:21" ht="13.5" customHeight="1">
      <c r="B50" s="60"/>
      <c r="C50" s="60"/>
      <c r="D50" s="66"/>
      <c r="E50" s="39"/>
      <c r="F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2" t="s">
        <v>68</v>
      </c>
      <c r="T50" s="56">
        <f>+IF(+T49&gt;0,+T49,0)</f>
        <v>0</v>
      </c>
      <c r="U50" s="33"/>
    </row>
    <row r="51" spans="2:21" ht="13.5" customHeight="1">
      <c r="B51" s="60"/>
      <c r="C51" s="60"/>
      <c r="D51" s="67"/>
      <c r="E51" s="40"/>
      <c r="F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42" t="s">
        <v>69</v>
      </c>
      <c r="T51" s="57">
        <f>+IF(+T49&gt;0,0,-T49)</f>
        <v>0.61738375734752116</v>
      </c>
      <c r="U51" s="33"/>
    </row>
    <row r="52" spans="2:21" ht="13.5" customHeight="1">
      <c r="B52" s="60"/>
      <c r="C52" s="60"/>
      <c r="D52" s="67"/>
      <c r="E52" s="40"/>
      <c r="F52" s="3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2" t="s">
        <v>70</v>
      </c>
      <c r="T52" s="58">
        <f>+T51*F42</f>
        <v>59578936.514700003</v>
      </c>
      <c r="U52" s="33"/>
    </row>
    <row r="53" spans="2:21" ht="13.5" customHeight="1">
      <c r="B53" s="60"/>
      <c r="C53" s="60"/>
      <c r="D53" s="67"/>
      <c r="E53" s="40"/>
      <c r="F53" s="3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2"/>
      <c r="T53" s="74"/>
      <c r="U53" s="33"/>
    </row>
    <row r="54" spans="2:21" ht="15.75" hidden="1" customHeight="1">
      <c r="B54" s="60"/>
      <c r="C54" s="60"/>
      <c r="D54" s="67"/>
      <c r="E54" s="40"/>
      <c r="F54" s="33"/>
      <c r="H54" s="42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74"/>
      <c r="U54" s="33"/>
    </row>
    <row r="55" spans="2:21" ht="15.75" hidden="1" customHeight="1">
      <c r="B55" s="60"/>
      <c r="C55" s="60"/>
      <c r="D55" s="67"/>
      <c r="E55" s="40"/>
      <c r="F55" s="33"/>
      <c r="H55" s="54" t="str">
        <f t="shared" ref="H55:S55" si="17">H2</f>
        <v>EJECUTADO</v>
      </c>
      <c r="I55" s="54" t="str">
        <f t="shared" si="17"/>
        <v>EJECUTADO</v>
      </c>
      <c r="J55" s="85" t="str">
        <f t="shared" si="17"/>
        <v>EJECUTADO</v>
      </c>
      <c r="K55" s="85" t="str">
        <f t="shared" si="17"/>
        <v>EJECUTADO</v>
      </c>
      <c r="L55" s="85" t="str">
        <f t="shared" si="17"/>
        <v>EJECUTADO</v>
      </c>
      <c r="M55" s="85" t="str">
        <f t="shared" si="17"/>
        <v>EJECUTADO</v>
      </c>
      <c r="N55" s="85" t="str">
        <f t="shared" si="17"/>
        <v>EJECUTADO</v>
      </c>
      <c r="O55" s="85" t="str">
        <f t="shared" si="17"/>
        <v>EJECUTADO</v>
      </c>
      <c r="P55" s="85" t="str">
        <f t="shared" si="17"/>
        <v>EJECUTADO</v>
      </c>
      <c r="Q55" s="85" t="str">
        <f t="shared" si="17"/>
        <v>EJECUTADO</v>
      </c>
      <c r="R55" s="85" t="str">
        <f t="shared" si="17"/>
        <v>EJECUTADO</v>
      </c>
      <c r="S55" s="85" t="str">
        <f t="shared" si="17"/>
        <v>EJECUTADO</v>
      </c>
      <c r="T55" s="74"/>
      <c r="U55" s="33"/>
    </row>
    <row r="56" spans="2:21" ht="15.75" hidden="1" customHeight="1">
      <c r="B56" s="60"/>
      <c r="C56" s="60"/>
      <c r="D56" s="75" t="s">
        <v>71</v>
      </c>
      <c r="E56" s="76">
        <f>E43</f>
        <v>88163474</v>
      </c>
      <c r="F56" s="76">
        <f>F43</f>
        <v>87028666</v>
      </c>
      <c r="G56" s="76"/>
      <c r="H56" s="55">
        <f t="shared" ref="H56:R56" si="18">H43</f>
        <v>0</v>
      </c>
      <c r="I56" s="55">
        <f>I43</f>
        <v>861686.02500000002</v>
      </c>
      <c r="J56" s="55">
        <f t="shared" si="18"/>
        <v>6033205.426</v>
      </c>
      <c r="K56" s="55">
        <f t="shared" si="18"/>
        <v>3502963.6749999998</v>
      </c>
      <c r="L56" s="55">
        <f t="shared" si="18"/>
        <v>3302436.8030000003</v>
      </c>
      <c r="M56" s="55">
        <f t="shared" si="18"/>
        <v>2054275.7450000001</v>
      </c>
      <c r="N56" s="55">
        <f t="shared" si="18"/>
        <v>3058987.9713000003</v>
      </c>
      <c r="O56" s="55">
        <f t="shared" si="18"/>
        <v>3157186.1189999999</v>
      </c>
      <c r="P56" s="55">
        <f t="shared" si="18"/>
        <v>3517356.4910000004</v>
      </c>
      <c r="Q56" s="55">
        <f t="shared" si="18"/>
        <v>2064676.9759999998</v>
      </c>
      <c r="R56" s="55">
        <f t="shared" si="18"/>
        <v>0</v>
      </c>
      <c r="S56" s="76">
        <f>S43</f>
        <v>0</v>
      </c>
      <c r="T56" s="74"/>
      <c r="U56" s="33"/>
    </row>
    <row r="57" spans="2:21" ht="15.75" hidden="1" customHeight="1">
      <c r="B57" s="60"/>
      <c r="C57" s="60"/>
      <c r="D57" s="77" t="s">
        <v>72</v>
      </c>
      <c r="E57" s="78"/>
      <c r="F57" s="78"/>
      <c r="G57" s="78"/>
      <c r="H57" s="79">
        <f>H56</f>
        <v>0</v>
      </c>
      <c r="I57" s="79">
        <f>I56</f>
        <v>861686.02500000002</v>
      </c>
      <c r="J57" s="79">
        <f t="shared" ref="J57:Q57" si="19">I57+J56</f>
        <v>6894891.4510000004</v>
      </c>
      <c r="K57" s="79">
        <f t="shared" si="19"/>
        <v>10397855.126</v>
      </c>
      <c r="L57" s="79">
        <f t="shared" si="19"/>
        <v>13700291.929000001</v>
      </c>
      <c r="M57" s="79">
        <f>L57+M56</f>
        <v>15754567.674000002</v>
      </c>
      <c r="N57" s="79">
        <f t="shared" si="19"/>
        <v>18813555.645300001</v>
      </c>
      <c r="O57" s="79">
        <f t="shared" si="19"/>
        <v>21970741.7643</v>
      </c>
      <c r="P57" s="79">
        <f>O57+P56</f>
        <v>25488098.2553</v>
      </c>
      <c r="Q57" s="79">
        <f t="shared" si="19"/>
        <v>27552775.2313</v>
      </c>
      <c r="R57" s="79">
        <f>Q57+R56</f>
        <v>27552775.2313</v>
      </c>
      <c r="S57" s="78">
        <f>R57+S56</f>
        <v>27552775.2313</v>
      </c>
      <c r="T57" s="74"/>
      <c r="U57" s="33"/>
    </row>
    <row r="58" spans="2:21" ht="15.75" hidden="1" customHeight="1">
      <c r="U58" s="33"/>
    </row>
    <row r="59" spans="2:21" ht="23.25" customHeight="1">
      <c r="H59" s="92" t="s">
        <v>73</v>
      </c>
      <c r="U59" s="33"/>
    </row>
    <row r="60" spans="2:21" ht="15.75" customHeight="1">
      <c r="H60" s="54" t="str">
        <f t="shared" ref="H60:S60" si="20">H2</f>
        <v>EJECUTADO</v>
      </c>
      <c r="I60" s="54" t="str">
        <f t="shared" si="20"/>
        <v>EJECUTADO</v>
      </c>
      <c r="J60" s="54" t="str">
        <f t="shared" si="20"/>
        <v>EJECUTADO</v>
      </c>
      <c r="K60" s="54" t="str">
        <f t="shared" si="20"/>
        <v>EJECUTADO</v>
      </c>
      <c r="L60" s="54" t="str">
        <f t="shared" si="20"/>
        <v>EJECUTADO</v>
      </c>
      <c r="M60" s="54" t="str">
        <f t="shared" si="20"/>
        <v>EJECUTADO</v>
      </c>
      <c r="N60" s="54" t="str">
        <f t="shared" si="20"/>
        <v>EJECUTADO</v>
      </c>
      <c r="O60" s="54" t="str">
        <f t="shared" si="20"/>
        <v>EJECUTADO</v>
      </c>
      <c r="P60" s="54" t="str">
        <f t="shared" si="20"/>
        <v>EJECUTADO</v>
      </c>
      <c r="Q60" s="54" t="str">
        <f t="shared" si="20"/>
        <v>EJECUTADO</v>
      </c>
      <c r="R60" s="54" t="str">
        <f t="shared" si="20"/>
        <v>EJECUTADO</v>
      </c>
      <c r="S60" s="54" t="str">
        <f t="shared" si="20"/>
        <v>EJECUTADO</v>
      </c>
      <c r="U60" s="33"/>
    </row>
    <row r="61" spans="2:21" ht="15.75" customHeight="1">
      <c r="G61" s="44" t="s">
        <v>5</v>
      </c>
      <c r="H61" s="41" t="s">
        <v>9</v>
      </c>
      <c r="I61" s="41" t="s">
        <v>10</v>
      </c>
      <c r="J61" s="41" t="s">
        <v>11</v>
      </c>
      <c r="K61" s="41" t="s">
        <v>12</v>
      </c>
      <c r="L61" s="41" t="s">
        <v>13</v>
      </c>
      <c r="M61" s="41" t="s">
        <v>14</v>
      </c>
      <c r="N61" s="41" t="s">
        <v>15</v>
      </c>
      <c r="O61" s="41" t="s">
        <v>16</v>
      </c>
      <c r="P61" s="41" t="s">
        <v>17</v>
      </c>
      <c r="Q61" s="41" t="s">
        <v>18</v>
      </c>
      <c r="R61" s="41" t="s">
        <v>19</v>
      </c>
      <c r="S61" s="41" t="s">
        <v>20</v>
      </c>
      <c r="T61" s="93" t="s">
        <v>2</v>
      </c>
      <c r="U61" s="33"/>
    </row>
    <row r="62" spans="2:21" ht="15.75" customHeight="1">
      <c r="G62" s="68" t="s">
        <v>49</v>
      </c>
      <c r="H62" s="70">
        <f t="shared" ref="H62:T62" si="21">H23</f>
        <v>0</v>
      </c>
      <c r="I62" s="70">
        <f t="shared" si="21"/>
        <v>0</v>
      </c>
      <c r="J62" s="70">
        <f t="shared" si="21"/>
        <v>4999665.7010000004</v>
      </c>
      <c r="K62" s="70">
        <f t="shared" si="21"/>
        <v>2992901.7779999999</v>
      </c>
      <c r="L62" s="70">
        <f t="shared" si="21"/>
        <v>2891727.4080000003</v>
      </c>
      <c r="M62" s="70">
        <f t="shared" si="21"/>
        <v>1609992.358</v>
      </c>
      <c r="N62" s="70">
        <f t="shared" si="21"/>
        <v>1830835.9330000002</v>
      </c>
      <c r="O62" s="70">
        <f t="shared" si="21"/>
        <v>873284.09</v>
      </c>
      <c r="P62" s="70">
        <f t="shared" si="21"/>
        <v>1348368.2440000002</v>
      </c>
      <c r="Q62" s="70">
        <f t="shared" si="21"/>
        <v>481480.94</v>
      </c>
      <c r="R62" s="70">
        <f t="shared" si="21"/>
        <v>0</v>
      </c>
      <c r="S62" s="70">
        <f t="shared" si="21"/>
        <v>0</v>
      </c>
      <c r="T62" s="69">
        <f t="shared" si="21"/>
        <v>17028256.452000003</v>
      </c>
      <c r="U62" s="33"/>
    </row>
    <row r="63" spans="2:21" ht="15.75" customHeight="1">
      <c r="G63" s="68" t="s">
        <v>31</v>
      </c>
      <c r="H63" s="71">
        <f t="shared" ref="H63:T63" si="22">H10</f>
        <v>0</v>
      </c>
      <c r="I63" s="71">
        <f t="shared" si="22"/>
        <v>193970</v>
      </c>
      <c r="J63" s="71">
        <f t="shared" si="22"/>
        <v>679146.09</v>
      </c>
      <c r="K63" s="71">
        <f t="shared" si="22"/>
        <v>24990</v>
      </c>
      <c r="L63" s="71">
        <f t="shared" si="22"/>
        <v>166468.43</v>
      </c>
      <c r="M63" s="71">
        <f t="shared" si="22"/>
        <v>90000</v>
      </c>
      <c r="N63" s="71">
        <f t="shared" si="22"/>
        <v>357797.56800000003</v>
      </c>
      <c r="O63" s="71">
        <f t="shared" si="22"/>
        <v>0</v>
      </c>
      <c r="P63" s="71">
        <f t="shared" si="22"/>
        <v>1206124.0859999999</v>
      </c>
      <c r="Q63" s="71">
        <f t="shared" si="22"/>
        <v>230146</v>
      </c>
      <c r="R63" s="71">
        <f t="shared" si="22"/>
        <v>0</v>
      </c>
      <c r="S63" s="71">
        <f t="shared" si="22"/>
        <v>0</v>
      </c>
      <c r="T63" s="69">
        <f t="shared" si="22"/>
        <v>2948642.1739999996</v>
      </c>
      <c r="U63" s="33"/>
    </row>
    <row r="64" spans="2:21" ht="15.75" customHeight="1">
      <c r="G64" s="68" t="s">
        <v>55</v>
      </c>
      <c r="H64" s="70">
        <f>H33</f>
        <v>0</v>
      </c>
      <c r="I64" s="70">
        <f t="shared" ref="I64:T64" si="23">I33</f>
        <v>245416.02499999999</v>
      </c>
      <c r="J64" s="70">
        <f t="shared" si="23"/>
        <v>354393.63500000001</v>
      </c>
      <c r="K64" s="70">
        <f t="shared" si="23"/>
        <v>481006.31799999997</v>
      </c>
      <c r="L64" s="70">
        <f t="shared" si="23"/>
        <v>234818.652</v>
      </c>
      <c r="M64" s="70">
        <f t="shared" si="23"/>
        <v>330547.56599999999</v>
      </c>
      <c r="N64" s="70">
        <f t="shared" si="23"/>
        <v>585396.4182999999</v>
      </c>
      <c r="O64" s="70">
        <f t="shared" si="23"/>
        <v>742741.82</v>
      </c>
      <c r="P64" s="70">
        <f t="shared" si="23"/>
        <v>473520.75699999998</v>
      </c>
      <c r="Q64" s="70">
        <f t="shared" si="23"/>
        <v>713061.46899999981</v>
      </c>
      <c r="R64" s="70">
        <f t="shared" si="23"/>
        <v>0</v>
      </c>
      <c r="S64" s="70">
        <f t="shared" si="23"/>
        <v>0</v>
      </c>
      <c r="T64" s="69">
        <f t="shared" si="23"/>
        <v>4160902.6602999996</v>
      </c>
      <c r="U64" s="33"/>
    </row>
    <row r="65" spans="4:23" ht="15.75" customHeight="1">
      <c r="F65" s="362" t="s">
        <v>28</v>
      </c>
      <c r="G65" s="363"/>
      <c r="H65" s="70">
        <f>H8</f>
        <v>0</v>
      </c>
      <c r="I65" s="70">
        <f t="shared" ref="I65:S65" si="24">I8</f>
        <v>0</v>
      </c>
      <c r="J65" s="70">
        <f t="shared" si="24"/>
        <v>0</v>
      </c>
      <c r="K65" s="70">
        <f t="shared" si="24"/>
        <v>0</v>
      </c>
      <c r="L65" s="70">
        <f t="shared" si="24"/>
        <v>3998.4</v>
      </c>
      <c r="M65" s="70">
        <f t="shared" si="24"/>
        <v>9996</v>
      </c>
      <c r="N65" s="70">
        <f t="shared" si="24"/>
        <v>9996</v>
      </c>
      <c r="O65" s="70">
        <f t="shared" si="24"/>
        <v>22638.446</v>
      </c>
      <c r="P65" s="70">
        <f t="shared" si="24"/>
        <v>5997.6</v>
      </c>
      <c r="Q65" s="70">
        <f t="shared" si="24"/>
        <v>5664.4</v>
      </c>
      <c r="R65" s="70">
        <f t="shared" si="24"/>
        <v>0</v>
      </c>
      <c r="S65" s="70">
        <f t="shared" si="24"/>
        <v>0</v>
      </c>
      <c r="T65" s="69">
        <f>+T8</f>
        <v>58290.846000000005</v>
      </c>
      <c r="U65" s="33"/>
    </row>
    <row r="66" spans="4:23" ht="15.75" customHeight="1">
      <c r="G66" s="68" t="s">
        <v>23</v>
      </c>
      <c r="H66" s="71">
        <f t="shared" ref="H66:T66" si="25">H5</f>
        <v>0</v>
      </c>
      <c r="I66" s="71">
        <f t="shared" si="25"/>
        <v>422300</v>
      </c>
      <c r="J66" s="71">
        <f t="shared" si="25"/>
        <v>0</v>
      </c>
      <c r="K66" s="71">
        <f t="shared" si="25"/>
        <v>4065.5790000000002</v>
      </c>
      <c r="L66" s="71">
        <f t="shared" si="25"/>
        <v>5423.9129999999996</v>
      </c>
      <c r="M66" s="71">
        <f t="shared" si="25"/>
        <v>13739.821</v>
      </c>
      <c r="N66" s="71">
        <f t="shared" si="25"/>
        <v>233300.052</v>
      </c>
      <c r="O66" s="71">
        <f t="shared" si="25"/>
        <v>1518521.763</v>
      </c>
      <c r="P66" s="71">
        <f t="shared" si="25"/>
        <v>441683.804</v>
      </c>
      <c r="Q66" s="71">
        <f t="shared" si="25"/>
        <v>582246.66700000002</v>
      </c>
      <c r="R66" s="71">
        <f t="shared" si="25"/>
        <v>0</v>
      </c>
      <c r="S66" s="71">
        <f t="shared" si="25"/>
        <v>0</v>
      </c>
      <c r="T66" s="69">
        <f t="shared" si="25"/>
        <v>3221281.5989999995</v>
      </c>
      <c r="U66" s="33"/>
    </row>
    <row r="67" spans="4:23" ht="15.75" customHeight="1">
      <c r="G67" s="68" t="s">
        <v>22</v>
      </c>
      <c r="H67" s="70">
        <f t="shared" ref="H67:T67" si="26">H4</f>
        <v>0</v>
      </c>
      <c r="I67" s="70">
        <f t="shared" si="26"/>
        <v>0</v>
      </c>
      <c r="J67" s="70">
        <f t="shared" si="26"/>
        <v>0</v>
      </c>
      <c r="K67" s="70">
        <f t="shared" si="26"/>
        <v>0</v>
      </c>
      <c r="L67" s="70">
        <f t="shared" si="26"/>
        <v>0</v>
      </c>
      <c r="M67" s="70">
        <f t="shared" si="26"/>
        <v>0</v>
      </c>
      <c r="N67" s="70">
        <f t="shared" si="26"/>
        <v>41662</v>
      </c>
      <c r="O67" s="70">
        <f t="shared" si="26"/>
        <v>0</v>
      </c>
      <c r="P67" s="70">
        <f t="shared" si="26"/>
        <v>41662</v>
      </c>
      <c r="Q67" s="70">
        <f t="shared" si="26"/>
        <v>52077.5</v>
      </c>
      <c r="R67" s="70">
        <f t="shared" si="26"/>
        <v>0</v>
      </c>
      <c r="S67" s="70">
        <f t="shared" si="26"/>
        <v>0</v>
      </c>
      <c r="T67" s="69">
        <f t="shared" si="26"/>
        <v>135401.5</v>
      </c>
      <c r="U67" s="33"/>
    </row>
    <row r="68" spans="4:23" ht="15.75" customHeight="1">
      <c r="F68" s="362" t="s">
        <v>74</v>
      </c>
      <c r="G68" s="363"/>
      <c r="H68" s="70">
        <f>+H38</f>
        <v>9370562.2540000007</v>
      </c>
      <c r="I68" s="70">
        <f>+I38</f>
        <v>0</v>
      </c>
      <c r="J68" s="70">
        <f t="shared" ref="J68:S68" si="27">+J38</f>
        <v>0</v>
      </c>
      <c r="K68" s="70">
        <f t="shared" si="27"/>
        <v>0</v>
      </c>
      <c r="L68" s="70">
        <f t="shared" si="27"/>
        <v>0</v>
      </c>
      <c r="M68" s="70">
        <f t="shared" si="27"/>
        <v>0</v>
      </c>
      <c r="N68" s="70">
        <f t="shared" si="27"/>
        <v>0</v>
      </c>
      <c r="O68" s="70">
        <f t="shared" si="27"/>
        <v>0</v>
      </c>
      <c r="P68" s="70">
        <f t="shared" si="27"/>
        <v>0</v>
      </c>
      <c r="Q68" s="70">
        <f t="shared" si="27"/>
        <v>0</v>
      </c>
      <c r="R68" s="70">
        <f t="shared" si="27"/>
        <v>0</v>
      </c>
      <c r="S68" s="70">
        <f t="shared" si="27"/>
        <v>0</v>
      </c>
      <c r="T68" s="69">
        <f>T38</f>
        <v>9370562.2540000007</v>
      </c>
      <c r="U68" s="33"/>
    </row>
    <row r="69" spans="4:23" ht="19.5" customHeight="1">
      <c r="G69" s="364" t="s">
        <v>75</v>
      </c>
      <c r="H69" s="364"/>
      <c r="I69" s="364"/>
      <c r="J69" s="364"/>
      <c r="K69" s="364"/>
      <c r="L69" s="364"/>
      <c r="R69" s="103"/>
    </row>
    <row r="70" spans="4:23" ht="18" customHeight="1">
      <c r="H70" s="68"/>
    </row>
    <row r="71" spans="4:23" ht="23.25" customHeight="1">
      <c r="D71" s="81"/>
      <c r="E71" s="92" t="s">
        <v>76</v>
      </c>
      <c r="H71" s="92" t="s">
        <v>77</v>
      </c>
      <c r="N71" s="83"/>
      <c r="O71" s="83"/>
      <c r="P71" s="83"/>
      <c r="Q71" s="83"/>
      <c r="V71" s="92" t="s">
        <v>76</v>
      </c>
    </row>
    <row r="72" spans="4:23" ht="16.5" customHeight="1">
      <c r="D72" s="81"/>
      <c r="E72" s="82"/>
      <c r="F72" s="82"/>
      <c r="H72" s="85" t="str">
        <f t="shared" ref="H72:S72" si="28">H2</f>
        <v>EJECUTADO</v>
      </c>
      <c r="I72" s="85" t="str">
        <f t="shared" si="28"/>
        <v>EJECUTADO</v>
      </c>
      <c r="J72" s="85" t="str">
        <f t="shared" si="28"/>
        <v>EJECUTADO</v>
      </c>
      <c r="K72" s="85" t="str">
        <f t="shared" si="28"/>
        <v>EJECUTADO</v>
      </c>
      <c r="L72" s="85" t="str">
        <f t="shared" si="28"/>
        <v>EJECUTADO</v>
      </c>
      <c r="M72" s="85" t="str">
        <f t="shared" si="28"/>
        <v>EJECUTADO</v>
      </c>
      <c r="N72" s="85" t="str">
        <f t="shared" si="28"/>
        <v>EJECUTADO</v>
      </c>
      <c r="O72" s="85" t="str">
        <f t="shared" si="28"/>
        <v>EJECUTADO</v>
      </c>
      <c r="P72" s="85" t="str">
        <f t="shared" si="28"/>
        <v>EJECUTADO</v>
      </c>
      <c r="Q72" s="85" t="str">
        <f t="shared" si="28"/>
        <v>EJECUTADO</v>
      </c>
      <c r="R72" s="85" t="str">
        <f t="shared" si="28"/>
        <v>EJECUTADO</v>
      </c>
      <c r="S72" s="85" t="str">
        <f t="shared" si="28"/>
        <v>EJECUTADO</v>
      </c>
      <c r="T72" s="85" t="s">
        <v>78</v>
      </c>
      <c r="V72" s="82"/>
      <c r="W72" s="82"/>
    </row>
    <row r="73" spans="4:23" ht="18" customHeight="1">
      <c r="D73" s="81"/>
      <c r="E73" s="84" t="s">
        <v>79</v>
      </c>
      <c r="F73" s="112" t="s">
        <v>80</v>
      </c>
      <c r="H73" s="159">
        <v>45292</v>
      </c>
      <c r="I73" s="159">
        <v>45323</v>
      </c>
      <c r="J73" s="159">
        <v>45352</v>
      </c>
      <c r="K73" s="159">
        <v>45383</v>
      </c>
      <c r="L73" s="159">
        <v>45413</v>
      </c>
      <c r="M73" s="159">
        <v>45444</v>
      </c>
      <c r="N73" s="159">
        <v>45474</v>
      </c>
      <c r="O73" s="159">
        <v>45505</v>
      </c>
      <c r="P73" s="159">
        <v>45536</v>
      </c>
      <c r="Q73" s="159">
        <v>45566</v>
      </c>
      <c r="R73" s="159">
        <v>45597</v>
      </c>
      <c r="S73" s="159">
        <v>45627</v>
      </c>
      <c r="T73" s="113">
        <v>2024</v>
      </c>
      <c r="V73" s="84" t="s">
        <v>79</v>
      </c>
      <c r="W73" s="112" t="s">
        <v>81</v>
      </c>
    </row>
    <row r="74" spans="4:23" ht="18" customHeight="1">
      <c r="D74" s="81"/>
      <c r="E74" s="87" t="s">
        <v>82</v>
      </c>
      <c r="F74" s="107">
        <v>982995.46099999989</v>
      </c>
      <c r="H74" s="104">
        <f>SUMIFS('2024 FNDR'!$R$4:$R$404,'2024 FNDR'!$H$4:$H$404,'2024 RESUMEN'!E74)</f>
        <v>0</v>
      </c>
      <c r="I74" s="104">
        <f>SUMIFS('2024 FNDR'!$S$4:$S$449,'2024 FNDR'!$H$4:$H$449,'2024 RESUMEN'!E74)+SUMIFS('FRIL 2024'!$J$3:$J$37,'FRIL 2024'!$G$3:$G$37,'2024 RESUMEN'!$E74)</f>
        <v>13549.319</v>
      </c>
      <c r="J74" s="104">
        <f>SUMIFS('2024 FNDR'!$T$4:$T$449,'2024 FNDR'!$H$4:$H$449,'2024 RESUMEN'!E74)+SUMIFS('FRIL 2024'!$K$3:$K$37,'FRIL 2024'!$G$3:$G$37,'2024 RESUMEN'!$E74)</f>
        <v>14225.761</v>
      </c>
      <c r="K74" s="104">
        <f>SUMIFS('2024 FNDR'!$U$4:$U$404,'2024 FNDR'!$H$4:$H$404,'2024 RESUMEN'!E74)+SUMIFS('FRIL 2024'!$L$3:$L$37,'FRIL 2024'!$G$3:$G$37,'2024 RESUMEN'!$E74)</f>
        <v>22375.055</v>
      </c>
      <c r="L74" s="104">
        <f>SUMIFS('2024 FNDR'!$V$4:$V$404,'2024 FNDR'!$H$4:$H$404,'2024 RESUMEN'!E74)+SUMIFS('FRIL 2024'!$M$3:$M$37,'FRIL 2024'!$G$3:$G$37,'2024 RESUMEN'!$E74)</f>
        <v>0</v>
      </c>
      <c r="M74" s="141">
        <f>SUMIFS('2024 FNDR'!$W$4:$W$416,'2024 FNDR'!$H$4:$H$416,'2024 RESUMEN'!E74)+SUMIFS('FRIL 2024'!$N$3:$N$30,'FRIL 2024'!$G$3:$G$30,'2024 RESUMEN'!$E74)</f>
        <v>31458.358</v>
      </c>
      <c r="N74" s="141">
        <f>SUMIFS('2024 FNDR'!$X$4:$X$404,'2024 FNDR'!$H$4:$H$404,'2024 RESUMEN'!E74)+SUMIFS('FRIL 2024'!$O$3:$O$31,'FRIL 2024'!$G$3:$G$31,'2024 RESUMEN'!$E74)</f>
        <v>42403.376000000004</v>
      </c>
      <c r="O74" s="141">
        <f>SUMIFS('2024 FNDR'!$Y$4:$Y$433,'2024 FNDR'!$H$4:$H$433,'2024 RESUMEN'!E74)+SUMIFS('FRIL 2024'!$P$3:$P$32,'FRIL 2024'!$G$3:$G$32,'2024 RESUMEN'!$E74)</f>
        <v>15423.839</v>
      </c>
      <c r="P74" s="141">
        <f>SUMIFS('2024 FNDR'!$Z$4:$Z$404,'2024 FNDR'!$H$4:$H$404,'2024 RESUMEN'!E74)+SUMIFS('FRIL 2024'!$Q$3:$Q$33,'FRIL 2024'!$G$3:$G$33,'2024 RESUMEN'!$E74)</f>
        <v>18370.329000000002</v>
      </c>
      <c r="Q74" s="141">
        <f>SUMIFS('2024 FNDR'!$AA$4:$AA$466,'2024 FNDR'!$H$4:$H$466,'2024 RESUMEN'!E74)+SUMIFS('FRIL 2024'!$R$3:$R$34,'FRIL 2024'!$G$3:$G$34,'2024 RESUMEN'!$E74)</f>
        <v>0</v>
      </c>
      <c r="R74" s="141">
        <f>SUMIFS('2024 FNDR'!$AB$4:$AB$404,'2024 FNDR'!$H$4:$H$404,'2024 RESUMEN'!E74)</f>
        <v>0</v>
      </c>
      <c r="S74" s="141">
        <f>SUMIFS('2024 FNDR'!$AC$4:$AC$404,'2024 FNDR'!$H$4:$H$404,'2024 RESUMEN'!E74)</f>
        <v>0</v>
      </c>
      <c r="T74" s="88">
        <f>SUMIFS(H74:S74,$H$72:$S$72,"ejecutado")</f>
        <v>157806.03700000001</v>
      </c>
      <c r="V74" s="87" t="s">
        <v>82</v>
      </c>
      <c r="W74" s="107">
        <f>T74</f>
        <v>157806.03700000001</v>
      </c>
    </row>
    <row r="75" spans="4:23" ht="18" customHeight="1">
      <c r="D75" s="81"/>
      <c r="E75" s="87" t="s">
        <v>83</v>
      </c>
      <c r="F75" s="107">
        <v>3461074.1510000001</v>
      </c>
      <c r="H75" s="104">
        <f>SUMIFS('2024 FNDR'!$R$4:$R$404,'2024 FNDR'!$H$4:$H$404,'2024 RESUMEN'!E75)</f>
        <v>0</v>
      </c>
      <c r="I75" s="104">
        <f>SUMIFS('2024 FNDR'!$S$4:$S$404,'2024 FNDR'!$H$4:$H$404,'2024 RESUMEN'!E75)+SUMIFS('FRIL 2024'!$J$3:$J$37,'FRIL 2024'!$G$3:$G$37,'2024 RESUMEN'!$E75)</f>
        <v>38483.217999999993</v>
      </c>
      <c r="J75" s="104">
        <f>SUMIFS('2024 FNDR'!$T$4:$T$449,'2024 FNDR'!$H$4:$H$449,'2024 RESUMEN'!E75)+SUMIFS('FRIL 2024'!$K$3:$K$37,'FRIL 2024'!$G$3:$G$37,'2024 RESUMEN'!$E75)</f>
        <v>46846.953999999998</v>
      </c>
      <c r="K75" s="104">
        <f>SUMIFS('2024 FNDR'!$U$4:$U$404,'2024 FNDR'!$H$4:$H$404,'2024 RESUMEN'!E75)+SUMIFS('FRIL 2024'!$L$3:$L$37,'FRIL 2024'!$G$3:$G$37,'2024 RESUMEN'!$E75)</f>
        <v>140441.984</v>
      </c>
      <c r="L75" s="104">
        <f>SUMIFS('2024 FNDR'!$V$4:$V$404,'2024 FNDR'!$H$4:$H$404,'2024 RESUMEN'!E75)+SUMIFS('FRIL 2024'!$M$3:$M$37,'FRIL 2024'!$G$3:$G$37,'2024 RESUMEN'!$E75)</f>
        <v>0</v>
      </c>
      <c r="M75" s="141">
        <f>SUMIFS('2024 FNDR'!$W$4:$W$416,'2024 FNDR'!$H$4:$H$416,'2024 RESUMEN'!E75)+SUMIFS('FRIL 2024'!$N$3:$N$30,'FRIL 2024'!$G$3:$G$30,'2024 RESUMEN'!$E75)</f>
        <v>0</v>
      </c>
      <c r="N75" s="141">
        <f>SUMIFS('2024 FNDR'!$X$4:$X$404,'2024 FNDR'!$H$4:$H$404,'2024 RESUMEN'!E75)+SUMIFS('FRIL 2024'!$O$3:$O$31,'FRIL 2024'!$G$3:$G$31,'2024 RESUMEN'!$E75)</f>
        <v>79877.122000000003</v>
      </c>
      <c r="O75" s="141">
        <f>SUMIFS('2024 FNDR'!$Y$4:$Y$433,'2024 FNDR'!$H$4:$H$433,'2024 RESUMEN'!E75)+SUMIFS('FRIL 2024'!$P$3:$P$32,'FRIL 2024'!$G$3:$G$32,'2024 RESUMEN'!$E75)</f>
        <v>0</v>
      </c>
      <c r="P75" s="141">
        <f>SUMIFS('2024 FNDR'!$Z$4:$Z$404,'2024 FNDR'!$H$4:$H$404,'2024 RESUMEN'!E75)+SUMIFS('FRIL 2024'!$Q$3:$Q$33,'FRIL 2024'!$G$3:$G$33,'2024 RESUMEN'!$E75)</f>
        <v>0</v>
      </c>
      <c r="Q75" s="141">
        <f>SUMIFS('2024 FNDR'!$AA$4:$AA$466,'2024 FNDR'!$H$4:$H$466,'2024 RESUMEN'!E75)+SUMIFS('FRIL 2024'!$R$3:$R$34,'FRIL 2024'!$G$3:$G$34,'2024 RESUMEN'!$E75)</f>
        <v>86812.494000000006</v>
      </c>
      <c r="R75" s="141">
        <f>SUMIFS('2024 FNDR'!$AB$4:$AB$404,'2024 FNDR'!$H$4:$H$404,'2024 RESUMEN'!E75)</f>
        <v>0</v>
      </c>
      <c r="S75" s="141">
        <f>SUMIFS('2024 FNDR'!$AC$4:$AC$404,'2024 FNDR'!$H$4:$H$404,'2024 RESUMEN'!E75)</f>
        <v>0</v>
      </c>
      <c r="T75" s="88">
        <f t="shared" ref="T75:T80" si="29">SUMIFS(H75:S75,$H$72:$S$72,"ejecutado")</f>
        <v>392461.772</v>
      </c>
      <c r="V75" s="87" t="s">
        <v>83</v>
      </c>
      <c r="W75" s="107">
        <f t="shared" ref="W75:W80" si="30">T75</f>
        <v>392461.772</v>
      </c>
    </row>
    <row r="76" spans="4:23" ht="18" customHeight="1">
      <c r="D76" s="81"/>
      <c r="E76" s="87" t="s">
        <v>84</v>
      </c>
      <c r="F76" s="107">
        <v>2498928.923</v>
      </c>
      <c r="H76" s="104">
        <f>SUMIFS('2024 FNDR'!$R$4:$R$404,'2024 FNDR'!$H$4:$H$404,'2024 RESUMEN'!E76)</f>
        <v>0</v>
      </c>
      <c r="I76" s="104">
        <f>SUMIFS('2024 FNDR'!$S$4:$S$404,'2024 FNDR'!$H$4:$H$404,'2024 RESUMEN'!E76)+SUMIFS('FRIL 2024'!$J$3:$J$24,'FRIL 2024'!$G$3:$G$24,'2024 RESUMEN'!$E76)</f>
        <v>46127.1</v>
      </c>
      <c r="J76" s="104">
        <f>SUMIFS('2024 FNDR'!$T$4:$T$449,'2024 FNDR'!$H$4:$H$449,'2024 RESUMEN'!E76)+SUMIFS('FRIL 2024'!$K$3:$K$37,'FRIL 2024'!$G$3:$G$37,'2024 RESUMEN'!$E76)</f>
        <v>322370.64600000001</v>
      </c>
      <c r="K76" s="104">
        <f>SUMIFS('2024 FNDR'!$U$4:$U$404,'2024 FNDR'!$H$4:$H$404,'2024 RESUMEN'!E76)+SUMIFS('FRIL 2024'!$L$3:$L$37,'FRIL 2024'!$G$3:$G$37,'2024 RESUMEN'!$E76)</f>
        <v>175177.66699999999</v>
      </c>
      <c r="L76" s="104">
        <f>SUMIFS('2024 FNDR'!$V$4:$V$404,'2024 FNDR'!$H$4:$H$404,'2024 RESUMEN'!E76)+SUMIFS('FRIL 2024'!$M$3:$M$37,'FRIL 2024'!$G$3:$G$37,'2024 RESUMEN'!$E76)</f>
        <v>127077.137</v>
      </c>
      <c r="M76" s="141">
        <f>SUMIFS('2024 FNDR'!$W$4:$W$416,'2024 FNDR'!$H$4:$H$416,'2024 RESUMEN'!E76)+SUMIFS('FRIL 2024'!$N$3:$N$30,'FRIL 2024'!$G$3:$G$30,'2024 RESUMEN'!$E76)</f>
        <v>163217.81700000001</v>
      </c>
      <c r="N76" s="141">
        <f>SUMIFS('2024 FNDR'!$X$4:$X$404,'2024 FNDR'!$H$4:$H$404,'2024 RESUMEN'!E76)+SUMIFS('FRIL 2024'!$O$3:$O$31,'FRIL 2024'!$G$3:$G$31,'2024 RESUMEN'!$E76)</f>
        <v>180963.38099999999</v>
      </c>
      <c r="O76" s="141">
        <f>SUMIFS('2024 FNDR'!$Y$4:$Y$433,'2024 FNDR'!$H$4:$H$433,'2024 RESUMEN'!E76)+SUMIFS('FRIL 2024'!$P$3:$P$32,'FRIL 2024'!$G$3:$G$32,'2024 RESUMEN'!$E76)</f>
        <v>16321.684999999999</v>
      </c>
      <c r="P76" s="141">
        <f>SUMIFS('2024 FNDR'!$Z$4:$Z$404,'2024 FNDR'!$H$4:$H$404,'2024 RESUMEN'!E76)+SUMIFS('FRIL 2024'!$Q$3:$Q$33,'FRIL 2024'!$G$3:$G$33,'2024 RESUMEN'!$E76)</f>
        <v>95389.108000000007</v>
      </c>
      <c r="Q76" s="141">
        <f>SUMIFS('2024 FNDR'!$AA$4:$AA$466,'2024 FNDR'!$H$4:$H$466,'2024 RESUMEN'!E76)+SUMIFS('FRIL 2024'!$R$3:$R$34,'FRIL 2024'!$G$3:$G$34,'2024 RESUMEN'!$E76)</f>
        <v>286167.37599999999</v>
      </c>
      <c r="R76" s="141">
        <f>SUMIFS('2024 FNDR'!$AB$4:$AB$404,'2024 FNDR'!$H$4:$H$404,'2024 RESUMEN'!E76)</f>
        <v>0</v>
      </c>
      <c r="S76" s="141">
        <f>SUMIFS('2024 FNDR'!$AC$4:$AC$404,'2024 FNDR'!$H$4:$H$404,'2024 RESUMEN'!E76)</f>
        <v>0</v>
      </c>
      <c r="T76" s="88">
        <f t="shared" si="29"/>
        <v>1412811.9169999999</v>
      </c>
      <c r="V76" s="87" t="s">
        <v>84</v>
      </c>
      <c r="W76" s="107">
        <f t="shared" si="30"/>
        <v>1412811.9169999999</v>
      </c>
    </row>
    <row r="77" spans="4:23" ht="18" customHeight="1">
      <c r="D77" s="81"/>
      <c r="E77" s="87" t="s">
        <v>85</v>
      </c>
      <c r="F77" s="107">
        <v>2168632.1310000001</v>
      </c>
      <c r="H77" s="104">
        <f>SUMIFS('2024 FNDR'!$R$4:$R$404,'2024 FNDR'!$H$4:$H$404,'2024 RESUMEN'!E77)</f>
        <v>0</v>
      </c>
      <c r="I77" s="104">
        <f>SUMIFS('2024 FNDR'!$S$4:$S$404,'2024 FNDR'!$H$4:$H$404,'2024 RESUMEN'!E77)+SUMIFS('FRIL 2024'!$J$3:$J$24,'FRIL 2024'!$G$3:$G$24,'2024 RESUMEN'!$E77)</f>
        <v>5800</v>
      </c>
      <c r="J77" s="104">
        <f>SUMIFS('2024 FNDR'!$T$4:$T$449,'2024 FNDR'!$H$4:$H$449,'2024 RESUMEN'!E77)+SUMIFS('FRIL 2024'!$K$3:$K$37,'FRIL 2024'!$G$3:$G$37,'2024 RESUMEN'!$E77)</f>
        <v>53893.69</v>
      </c>
      <c r="K77" s="104">
        <f>SUMIFS('2024 FNDR'!$U$4:$U$404,'2024 FNDR'!$H$4:$H$404,'2024 RESUMEN'!E77)+SUMIFS('FRIL 2024'!$L$3:$L$37,'FRIL 2024'!$G$3:$G$37,'2024 RESUMEN'!$E77)</f>
        <v>19357.042000000001</v>
      </c>
      <c r="L77" s="104">
        <f>SUMIFS('2024 FNDR'!$V$4:$V$404,'2024 FNDR'!$H$4:$H$404,'2024 RESUMEN'!E77)+SUMIFS('FRIL 2024'!$M$3:$M$37,'FRIL 2024'!$G$3:$G$37,'2024 RESUMEN'!$E77)</f>
        <v>263973.92099999997</v>
      </c>
      <c r="M77" s="141">
        <f>SUMIFS('2024 FNDR'!$W$4:$W$416,'2024 FNDR'!$H$4:$H$416,'2024 RESUMEN'!E77)+SUMIFS('FRIL 2024'!$N$3:$N$30,'FRIL 2024'!$G$3:$G$30,'2024 RESUMEN'!$E77)</f>
        <v>7733.9</v>
      </c>
      <c r="N77" s="141">
        <f>SUMIFS('2024 FNDR'!$X$4:$X$404,'2024 FNDR'!$H$4:$H$404,'2024 RESUMEN'!E77)+SUMIFS('FRIL 2024'!$O$3:$O$31,'FRIL 2024'!$G$3:$G$31,'2024 RESUMEN'!$E77)</f>
        <v>39475.538</v>
      </c>
      <c r="O77" s="141">
        <f>SUMIFS('2024 FNDR'!$Y$4:$Y$433,'2024 FNDR'!$H$4:$H$433,'2024 RESUMEN'!E77)+SUMIFS('FRIL 2024'!$P$3:$P$32,'FRIL 2024'!$G$3:$G$32,'2024 RESUMEN'!$E77)</f>
        <v>322518.12400000001</v>
      </c>
      <c r="P77" s="141">
        <f>SUMIFS('2024 FNDR'!$Z$4:$Z$404,'2024 FNDR'!$H$4:$H$404,'2024 RESUMEN'!E77)+SUMIFS('FRIL 2024'!$Q$3:$Q$33,'FRIL 2024'!$G$3:$G$33,'2024 RESUMEN'!$E77)</f>
        <v>68114.375</v>
      </c>
      <c r="Q77" s="141">
        <f>SUMIFS('2024 FNDR'!$AA$4:$AA$466,'2024 FNDR'!$H$4:$H$466,'2024 RESUMEN'!E77)+SUMIFS('FRIL 2024'!$R$3:$R$34,'FRIL 2024'!$G$3:$G$34,'2024 RESUMEN'!$E77)</f>
        <v>118088.645</v>
      </c>
      <c r="R77" s="141">
        <f>SUMIFS('2024 FNDR'!$AB$4:$AB$404,'2024 FNDR'!$H$4:$H$404,'2024 RESUMEN'!E77)</f>
        <v>0</v>
      </c>
      <c r="S77" s="141">
        <f>SUMIFS('2024 FNDR'!$AC$4:$AC$404,'2024 FNDR'!$H$4:$H$404,'2024 RESUMEN'!E77)</f>
        <v>0</v>
      </c>
      <c r="T77" s="88">
        <f t="shared" si="29"/>
        <v>898955.2350000001</v>
      </c>
      <c r="V77" s="87" t="s">
        <v>85</v>
      </c>
      <c r="W77" s="107">
        <f t="shared" si="30"/>
        <v>898955.2350000001</v>
      </c>
    </row>
    <row r="78" spans="4:23" ht="18" customHeight="1">
      <c r="D78" s="81"/>
      <c r="E78" s="87" t="s">
        <v>86</v>
      </c>
      <c r="F78" s="107">
        <v>1068459.2379999999</v>
      </c>
      <c r="H78" s="104">
        <f>SUMIFS('2024 FNDR'!$R$4:$R$404,'2024 FNDR'!$H$4:$H$404,'2024 RESUMEN'!E78)</f>
        <v>0</v>
      </c>
      <c r="I78" s="104">
        <f>SUMIFS('2024 FNDR'!$S$4:$S$404,'2024 FNDR'!$H$4:$H$404,'2024 RESUMEN'!E78)+SUMIFS('FRIL 2024'!$J$3:$J$24,'FRIL 2024'!$G$3:$G$24,'2024 RESUMEN'!$E78)</f>
        <v>22184.985000000001</v>
      </c>
      <c r="J78" s="104">
        <f>SUMIFS('2024 FNDR'!$T$4:$T$449,'2024 FNDR'!$H$4:$H$449,'2024 RESUMEN'!E78)+SUMIFS('FRIL 2024'!$K$3:$K$37,'FRIL 2024'!$G$3:$G$37,'2024 RESUMEN'!$E78)</f>
        <v>89739.592999999993</v>
      </c>
      <c r="K78" s="104">
        <f>SUMIFS('2024 FNDR'!$U$4:$U$404,'2024 FNDR'!$H$4:$H$404,'2024 RESUMEN'!E78)+SUMIFS('FRIL 2024'!$L$3:$L$37,'FRIL 2024'!$G$3:$G$37,'2024 RESUMEN'!$E78)</f>
        <v>30426.968000000001</v>
      </c>
      <c r="L78" s="104">
        <f>SUMIFS('2024 FNDR'!$V$4:$V$404,'2024 FNDR'!$H$4:$H$404,'2024 RESUMEN'!E78)+SUMIFS('FRIL 2024'!$M$3:$M$37,'FRIL 2024'!$G$3:$G$37,'2024 RESUMEN'!$E78)</f>
        <v>72311.925000000003</v>
      </c>
      <c r="M78" s="141">
        <f>SUMIFS('2024 FNDR'!$W$4:$W$416,'2024 FNDR'!$H$4:$H$416,'2024 RESUMEN'!E78)+SUMIFS('FRIL 2024'!$N$3:$N$30,'FRIL 2024'!$G$3:$G$30,'2024 RESUMEN'!$E78)</f>
        <v>46493.179000000004</v>
      </c>
      <c r="N78" s="141">
        <f>SUMIFS('2024 FNDR'!$X$4:$X$404,'2024 FNDR'!$H$4:$H$404,'2024 RESUMEN'!E78)+SUMIFS('FRIL 2024'!$O$3:$O$31,'FRIL 2024'!$G$3:$G$31,'2024 RESUMEN'!$E78)</f>
        <v>0</v>
      </c>
      <c r="O78" s="141">
        <f>SUMIFS('2024 FNDR'!$Y$4:$Y$433,'2024 FNDR'!$H$4:$H$433,'2024 RESUMEN'!E78)+SUMIFS('FRIL 2024'!$P$3:$P$32,'FRIL 2024'!$G$3:$G$32,'2024 RESUMEN'!$E78)</f>
        <v>26380.851999999999</v>
      </c>
      <c r="P78" s="141">
        <f>SUMIFS('2024 FNDR'!$Z$4:$Z$404,'2024 FNDR'!$H$4:$H$404,'2024 RESUMEN'!E78)+SUMIFS('FRIL 2024'!$Q$3:$Q$33,'FRIL 2024'!$G$3:$G$33,'2024 RESUMEN'!$E78)</f>
        <v>13160.145</v>
      </c>
      <c r="Q78" s="141">
        <f>SUMIFS('2024 FNDR'!$AA$4:$AA$466,'2024 FNDR'!$H$4:$H$466,'2024 RESUMEN'!E78)+SUMIFS('FRIL 2024'!$R$3:$R$34,'FRIL 2024'!$G$3:$G$34,'2024 RESUMEN'!$E78)</f>
        <v>0</v>
      </c>
      <c r="R78" s="141">
        <f>SUMIFS('2024 FNDR'!$AB$4:$AB$404,'2024 FNDR'!$H$4:$H$404,'2024 RESUMEN'!E78)</f>
        <v>0</v>
      </c>
      <c r="S78" s="141">
        <f>SUMIFS('2024 FNDR'!$AC$4:$AC$404,'2024 FNDR'!$H$4:$H$404,'2024 RESUMEN'!E78)</f>
        <v>0</v>
      </c>
      <c r="T78" s="88">
        <f t="shared" si="29"/>
        <v>300697.64700000006</v>
      </c>
      <c r="V78" s="87" t="s">
        <v>86</v>
      </c>
      <c r="W78" s="107">
        <f t="shared" si="30"/>
        <v>300697.64700000006</v>
      </c>
    </row>
    <row r="79" spans="4:23" ht="18" customHeight="1">
      <c r="D79" s="81"/>
      <c r="E79" s="87" t="s">
        <v>87</v>
      </c>
      <c r="F79" s="107">
        <v>1408223.9010000001</v>
      </c>
      <c r="H79" s="104">
        <f>SUMIFS('2024 FNDR'!$R$4:$R$404,'2024 FNDR'!$H$4:$H$404,'2024 RESUMEN'!E79)</f>
        <v>0</v>
      </c>
      <c r="I79" s="104">
        <f>SUMIFS('2024 FNDR'!$S$4:$S$404,'2024 FNDR'!$H$4:$H$404,'2024 RESUMEN'!E79)+SUMIFS('FRIL 2024'!$J$3:$J$24,'FRIL 2024'!$G$3:$G$24,'2024 RESUMEN'!$E79)</f>
        <v>1939.13</v>
      </c>
      <c r="J79" s="104">
        <f>SUMIFS('2024 FNDR'!$T$4:$T$449,'2024 FNDR'!$H$4:$H$449,'2024 RESUMEN'!E79)+SUMIFS('FRIL 2024'!$K$3:$K$37,'FRIL 2024'!$G$3:$G$37,'2024 RESUMEN'!$E79)</f>
        <v>33442.059000000001</v>
      </c>
      <c r="K79" s="104">
        <f>SUMIFS('2024 FNDR'!$U$4:$U$404,'2024 FNDR'!$H$4:$H$404,'2024 RESUMEN'!E79)+SUMIFS('FRIL 2024'!$L$3:$L$37,'FRIL 2024'!$G$3:$G$37,'2024 RESUMEN'!$E79)</f>
        <v>181715.47500000001</v>
      </c>
      <c r="L79" s="104">
        <f>SUMIFS('2024 FNDR'!$V$4:$V$404,'2024 FNDR'!$H$4:$H$404,'2024 RESUMEN'!E79)+SUMIFS('FRIL 2024'!$M$3:$M$37,'FRIL 2024'!$G$3:$G$37,'2024 RESUMEN'!$E79)</f>
        <v>7892.3549999999996</v>
      </c>
      <c r="M79" s="141">
        <f>SUMIFS('2024 FNDR'!$W$4:$W$416,'2024 FNDR'!$H$4:$H$416,'2024 RESUMEN'!E79)+SUMIFS('FRIL 2024'!$N$3:$N$30,'FRIL 2024'!$G$3:$G$30,'2024 RESUMEN'!$E79)</f>
        <v>0</v>
      </c>
      <c r="N79" s="141">
        <f>SUMIFS('2024 FNDR'!$X$4:$X$404,'2024 FNDR'!$H$4:$H$404,'2024 RESUMEN'!E79)+SUMIFS('FRIL 2024'!$O$3:$O$31,'FRIL 2024'!$G$3:$G$31,'2024 RESUMEN'!$E79)</f>
        <v>29202.303</v>
      </c>
      <c r="O79" s="141">
        <f>SUMIFS('2024 FNDR'!$Y$4:$Y$433,'2024 FNDR'!$H$4:$H$433,'2024 RESUMEN'!E79)+SUMIFS('FRIL 2024'!$P$3:$P$32,'FRIL 2024'!$G$3:$G$32,'2024 RESUMEN'!$E79)</f>
        <v>234929.609</v>
      </c>
      <c r="P79" s="141">
        <f>SUMIFS('2024 FNDR'!$Z$4:$Z$404,'2024 FNDR'!$H$4:$H$404,'2024 RESUMEN'!E79)+SUMIFS('FRIL 2024'!$Q$3:$Q$33,'FRIL 2024'!$G$3:$G$33,'2024 RESUMEN'!$E79)</f>
        <v>0</v>
      </c>
      <c r="Q79" s="141">
        <f>SUMIFS('2024 FNDR'!$AA$4:$AA$466,'2024 FNDR'!$H$4:$H$466,'2024 RESUMEN'!E79)+SUMIFS('FRIL 2024'!$R$3:$R$34,'FRIL 2024'!$G$3:$G$34,'2024 RESUMEN'!$E79)</f>
        <v>0</v>
      </c>
      <c r="R79" s="141">
        <f>SUMIFS('2024 FNDR'!$AB$4:$AB$404,'2024 FNDR'!$H$4:$H$404,'2024 RESUMEN'!E79)</f>
        <v>0</v>
      </c>
      <c r="S79" s="141">
        <f>SUMIFS('2024 FNDR'!$AC$4:$AC$404,'2024 FNDR'!$H$4:$H$404,'2024 RESUMEN'!E79)</f>
        <v>0</v>
      </c>
      <c r="T79" s="88">
        <f t="shared" si="29"/>
        <v>489120.93099999998</v>
      </c>
      <c r="V79" s="87" t="s">
        <v>87</v>
      </c>
      <c r="W79" s="107">
        <f t="shared" si="30"/>
        <v>489120.93099999998</v>
      </c>
    </row>
    <row r="80" spans="4:23" ht="18" customHeight="1">
      <c r="D80" s="81"/>
      <c r="E80" s="87" t="s">
        <v>88</v>
      </c>
      <c r="F80" s="107">
        <v>242.74700000000001</v>
      </c>
      <c r="H80" s="104">
        <f>SUMIFS('2024 FNDR'!$R$4:$R$404,'2024 FNDR'!$H$4:$H$404,'2024 RESUMEN'!E80)</f>
        <v>0</v>
      </c>
      <c r="I80" s="104">
        <f>SUMIFS('2024 FNDR'!$S$4:$S$404,'2024 FNDR'!$H$4:$H$404,'2024 RESUMEN'!E80)+SUMIFS('FRIL 2024'!$J$3:$J$24,'FRIL 2024'!$G$3:$G$24,'2024 RESUMEN'!$E80)</f>
        <v>0</v>
      </c>
      <c r="J80" s="104">
        <f>SUMIFS('2024 FNDR'!$T$4:$T$449,'2024 FNDR'!$H$4:$H$449,'2024 RESUMEN'!E80)+SUMIFS('FRIL 2024'!$K$3:$K$37,'FRIL 2024'!$G$3:$G$37,'2024 RESUMEN'!$E80)</f>
        <v>0</v>
      </c>
      <c r="K80" s="104">
        <f>SUMIFS('2024 FNDR'!$U$4:$U$404,'2024 FNDR'!$H$4:$H$404,'2024 RESUMEN'!E80)+SUMIFS('FRIL 2024'!$L$3:$L$37,'FRIL 2024'!$G$3:$G$37,'2024 RESUMEN'!$E80)</f>
        <v>0</v>
      </c>
      <c r="L80" s="104">
        <f>SUMIFS('2024 FNDR'!$V$4:$V$404,'2024 FNDR'!$H$4:$H$404,'2024 RESUMEN'!E80)+SUMIFS('FRIL 2024'!$M$3:$M$37,'FRIL 2024'!$G$3:$G$37,'2024 RESUMEN'!$E80)</f>
        <v>0</v>
      </c>
      <c r="M80" s="141">
        <f>SUMIFS('2024 FNDR'!$W$4:$W$416,'2024 FNDR'!$H$4:$H$416,'2024 RESUMEN'!E80)+SUMIFS('FRIL 2024'!$N$3:$N$30,'FRIL 2024'!$G$3:$G$30,'2024 RESUMEN'!$E80)</f>
        <v>0</v>
      </c>
      <c r="N80" s="141">
        <f>SUMIFS('2024 FNDR'!$X$4:$X$404,'2024 FNDR'!$H$4:$H$404,'2024 RESUMEN'!E80)+SUMIFS('FRIL 2024'!$O$3:$O$31,'FRIL 2024'!$G$3:$G$31,'2024 RESUMEN'!$E80)</f>
        <v>0</v>
      </c>
      <c r="O80" s="141">
        <f>SUMIFS('2024 FNDR'!$Y$4:$Y$433,'2024 FNDR'!$H$4:$H$433,'2024 RESUMEN'!E80)+SUMIFS('FRIL 2024'!$P$3:$P$32,'FRIL 2024'!$G$3:$G$32,'2024 RESUMEN'!$E80)</f>
        <v>0</v>
      </c>
      <c r="P80" s="141">
        <f>SUMIFS('2024 FNDR'!$Z$4:$Z$404,'2024 FNDR'!$H$4:$H$404,'2024 RESUMEN'!E80)+SUMIFS('FRIL 2024'!$Q$3:$Q$33,'FRIL 2024'!$G$3:$G$33,'2024 RESUMEN'!$E80)</f>
        <v>0</v>
      </c>
      <c r="Q80" s="141">
        <f>SUMIFS('2024 FNDR'!$AA$4:$AA$466,'2024 FNDR'!$H$4:$H$466,'2024 RESUMEN'!E80)+SUMIFS('FRIL 2024'!$R$3:$R$34,'FRIL 2024'!$G$3:$G$34,'2024 RESUMEN'!$E80)</f>
        <v>0</v>
      </c>
      <c r="R80" s="141">
        <f>SUMIFS('2024 FNDR'!$AB$4:$AB$404,'2024 FNDR'!$H$4:$H$404,'2024 RESUMEN'!E80)</f>
        <v>0</v>
      </c>
      <c r="S80" s="141">
        <f>SUMIFS('2024 FNDR'!$AC$4:$AC$404,'2024 FNDR'!$H$4:$H$404,'2024 RESUMEN'!E80)</f>
        <v>0</v>
      </c>
      <c r="T80" s="88">
        <f t="shared" si="29"/>
        <v>0</v>
      </c>
      <c r="V80" s="87" t="s">
        <v>88</v>
      </c>
      <c r="W80" s="107">
        <f t="shared" si="30"/>
        <v>0</v>
      </c>
    </row>
    <row r="81" spans="4:23" ht="18" customHeight="1">
      <c r="D81" s="81"/>
      <c r="E81" s="94" t="s">
        <v>89</v>
      </c>
      <c r="F81" s="95">
        <v>11588556.552000001</v>
      </c>
      <c r="G81" s="89"/>
      <c r="H81" s="96">
        <f>SUM(H74:H80)</f>
        <v>0</v>
      </c>
      <c r="I81" s="96">
        <f t="shared" ref="I81:P81" si="31">SUM(I74:I80)</f>
        <v>128083.75199999999</v>
      </c>
      <c r="J81" s="96">
        <f t="shared" si="31"/>
        <v>560518.7030000001</v>
      </c>
      <c r="K81" s="96">
        <f t="shared" si="31"/>
        <v>569494.19099999999</v>
      </c>
      <c r="L81" s="96">
        <f t="shared" si="31"/>
        <v>471255.33799999993</v>
      </c>
      <c r="M81" s="96">
        <f t="shared" si="31"/>
        <v>248903.25400000002</v>
      </c>
      <c r="N81" s="96">
        <f t="shared" si="31"/>
        <v>371921.72000000003</v>
      </c>
      <c r="O81" s="96">
        <f t="shared" si="31"/>
        <v>615574.10899999994</v>
      </c>
      <c r="P81" s="96">
        <f t="shared" si="31"/>
        <v>195033.95699999999</v>
      </c>
      <c r="Q81" s="96">
        <f>SUM(Q74:Q80)</f>
        <v>491068.51500000001</v>
      </c>
      <c r="R81" s="96">
        <f>SUM(R74:R80)</f>
        <v>0</v>
      </c>
      <c r="S81" s="96">
        <f>SUM(S74:S80)</f>
        <v>0</v>
      </c>
      <c r="T81" s="96">
        <f>SUM(T74:T80)</f>
        <v>3651853.5389999999</v>
      </c>
      <c r="V81" s="94" t="s">
        <v>89</v>
      </c>
      <c r="W81" s="95">
        <f>SUM(W74:W80)</f>
        <v>3651853.5389999999</v>
      </c>
    </row>
    <row r="82" spans="4:23" ht="18" customHeight="1">
      <c r="D82" s="81"/>
      <c r="E82" s="87" t="s">
        <v>90</v>
      </c>
      <c r="F82" s="108">
        <v>2570852.8669999996</v>
      </c>
      <c r="H82" s="105">
        <f>SUMIFS('2024 FNDR'!$R$4:$R$404,'2024 FNDR'!$H$4:$H$404,'2024 RESUMEN'!E82)</f>
        <v>0</v>
      </c>
      <c r="I82" s="105">
        <f>SUMIFS('2024 FNDR'!$S$4:$S$404,'2024 FNDR'!$H$4:$H$404,'2024 RESUMEN'!E82)+SUMIFS('FRIL 2024'!$J$3:$J$24,'FRIL 2024'!$G$3:$G$24,'2024 RESUMEN'!$E82)</f>
        <v>12004.380999999999</v>
      </c>
      <c r="J82" s="105">
        <f>SUMIFS('2024 FNDR'!$T$4:$T$449,'2024 FNDR'!$H$4:$H$449,'2024 RESUMEN'!E82)+SUMIFS('FRIL 2024'!$K$3:$K$37,'FRIL 2024'!$G$3:$G$37,'2024 RESUMEN'!$E82)</f>
        <v>508071.18900000001</v>
      </c>
      <c r="K82" s="105">
        <f>SUMIFS('2024 FNDR'!$U$4:$U$404,'2024 FNDR'!$H$4:$H$404,'2024 RESUMEN'!E82)+SUMIFS('FRIL 2024'!$L$3:$L$37,'FRIL 2024'!$G$3:$G$37,'2024 RESUMEN'!$E82)</f>
        <v>158081.21900000001</v>
      </c>
      <c r="L82" s="105">
        <f>SUMIFS('2024 FNDR'!$V$4:$V$404,'2024 FNDR'!$H$4:$H$404,'2024 RESUMEN'!E82)+SUMIFS('FRIL 2024'!$M$3:$M$37,'FRIL 2024'!$G$3:$G$37,'2024 RESUMEN'!$E82)</f>
        <v>84796.735000000001</v>
      </c>
      <c r="M82" s="142">
        <f>SUMIFS('2024 FNDR'!$W$4:$W$416,'2024 FNDR'!$H$4:$H$416,'2024 RESUMEN'!E82)+SUMIFS('FRIL 2024'!$N$3:$N$30,'FRIL 2024'!$G$3:$G$30,'2024 RESUMEN'!$E82)</f>
        <v>43943.133999999998</v>
      </c>
      <c r="N82" s="142">
        <f>SUMIFS('2024 FNDR'!$X$4:$X$404,'2024 FNDR'!$H$4:$H$404,'2024 RESUMEN'!E82)+SUMIFS('FRIL 2024'!$O$3:$O$31,'FRIL 2024'!$G$3:$G$31,'2024 RESUMEN'!$E82)</f>
        <v>256385.277</v>
      </c>
      <c r="O82" s="142">
        <f>SUMIFS('2024 FNDR'!$Y$4:$Y$433,'2024 FNDR'!$H$4:$H$433,'2024 RESUMEN'!E82)+SUMIFS('FRIL 2024'!$P$3:$P$32,'FRIL 2024'!$G$3:$G$32,'2024 RESUMEN'!$E82)</f>
        <v>171414.40600000002</v>
      </c>
      <c r="P82" s="142">
        <f>SUMIFS('2024 FNDR'!$Z$4:$Z$404,'2024 FNDR'!$H$4:$H$404,'2024 RESUMEN'!E82)+SUMIFS('FRIL 2024'!$Q$3:$Q$33,'FRIL 2024'!$G$3:$G$33,'2024 RESUMEN'!$E82)</f>
        <v>126158.579</v>
      </c>
      <c r="Q82" s="142">
        <f>SUMIFS('2024 FNDR'!$AA$4:$AA$466,'2024 FNDR'!$H$4:$H$466,'2024 RESUMEN'!E82)+SUMIFS('FRIL 2024'!$R$3:$R$34,'FRIL 2024'!$G$3:$G$34,'2024 RESUMEN'!$E82)</f>
        <v>2475.8180000000002</v>
      </c>
      <c r="R82" s="142">
        <f>SUMIFS('2024 FNDR'!$AB$4:$AB$404,'2024 FNDR'!$H$4:$H$404,'2024 RESUMEN'!E82)</f>
        <v>0</v>
      </c>
      <c r="S82" s="142">
        <f>SUMIFS('2024 FNDR'!$AC$4:$AC$404,'2024 FNDR'!$H$4:$H$404,'2024 RESUMEN'!E82)</f>
        <v>0</v>
      </c>
      <c r="T82" s="88">
        <f t="shared" ref="T82:T87" si="32">SUMIFS(H82:S82,$H$72:$S$72,"ejecutado")</f>
        <v>1363330.7379999999</v>
      </c>
      <c r="V82" s="87" t="s">
        <v>90</v>
      </c>
      <c r="W82" s="108">
        <f>T82</f>
        <v>1363330.7379999999</v>
      </c>
    </row>
    <row r="83" spans="4:23" ht="18" customHeight="1">
      <c r="D83" s="81"/>
      <c r="E83" s="87" t="s">
        <v>91</v>
      </c>
      <c r="F83" s="108">
        <v>9999250.7599999979</v>
      </c>
      <c r="H83" s="105">
        <f>SUMIFS('2024 FNDR'!$R$4:$R$404,'2024 FNDR'!$H$4:$H$404,'2024 RESUMEN'!E83)</f>
        <v>0</v>
      </c>
      <c r="I83" s="105">
        <f>SUMIFS('2024 FNDR'!$S$4:$S$404,'2024 FNDR'!$H$4:$H$404,'2024 RESUMEN'!E83)+SUMIFS('FRIL 2024'!$J$3:$J$24,'FRIL 2024'!$G$3:$G$24,'2024 RESUMEN'!$E83)</f>
        <v>0</v>
      </c>
      <c r="J83" s="105">
        <f>SUMIFS('2024 FNDR'!$T$4:$T$449,'2024 FNDR'!$H$4:$H$449,'2024 RESUMEN'!E83)+SUMIFS('FRIL 2024'!$K$3:$K$37,'FRIL 2024'!$G$3:$G$37,'2024 RESUMEN'!$E83)</f>
        <v>411625.70500000002</v>
      </c>
      <c r="K83" s="105">
        <f>SUMIFS('2024 FNDR'!$U$4:$U$404,'2024 FNDR'!$H$4:$H$404,'2024 RESUMEN'!E83)+SUMIFS('FRIL 2024'!$L$3:$L$37,'FRIL 2024'!$G$3:$G$37,'2024 RESUMEN'!$E83)</f>
        <v>875781.42799999996</v>
      </c>
      <c r="L83" s="105">
        <f>SUMIFS('2024 FNDR'!$V$4:$V$404,'2024 FNDR'!$H$4:$H$404,'2024 RESUMEN'!E83)+SUMIFS('FRIL 2024'!$M$3:$M$37,'FRIL 2024'!$G$3:$G$37,'2024 RESUMEN'!$E83)</f>
        <v>1222891.9890000001</v>
      </c>
      <c r="M83" s="142">
        <f>SUMIFS('2024 FNDR'!$W$4:$W$416,'2024 FNDR'!$H$4:$H$416,'2024 RESUMEN'!E83)+SUMIFS('FRIL 2024'!$N$3:$N$30,'FRIL 2024'!$G$3:$G$30,'2024 RESUMEN'!$E83)</f>
        <v>371595.63099999999</v>
      </c>
      <c r="N83" s="142">
        <f>SUMIFS('2024 FNDR'!$X$4:$X$404,'2024 FNDR'!$H$4:$H$404,'2024 RESUMEN'!E83)+SUMIFS('FRIL 2024'!$O$3:$O$31,'FRIL 2024'!$G$3:$G$31,'2024 RESUMEN'!$E83)</f>
        <v>503747.64</v>
      </c>
      <c r="O83" s="142">
        <f>SUMIFS('2024 FNDR'!$Y$4:$Y$433,'2024 FNDR'!$H$4:$H$433,'2024 RESUMEN'!E83)+SUMIFS('FRIL 2024'!$P$3:$P$32,'FRIL 2024'!$G$3:$G$32,'2024 RESUMEN'!$E83)</f>
        <v>145488.29699999999</v>
      </c>
      <c r="P83" s="142">
        <f>SUMIFS('2024 FNDR'!$Z$4:$Z$404,'2024 FNDR'!$H$4:$H$404,'2024 RESUMEN'!E83)+SUMIFS('FRIL 2024'!$Q$3:$Q$33,'FRIL 2024'!$G$3:$G$33,'2024 RESUMEN'!$E83)</f>
        <v>34660.002999999997</v>
      </c>
      <c r="Q83" s="142">
        <f>SUMIFS('2024 FNDR'!$AA$4:$AA$466,'2024 FNDR'!$H$4:$H$466,'2024 RESUMEN'!E83)+SUMIFS('FRIL 2024'!$R$3:$R$34,'FRIL 2024'!$G$3:$G$34,'2024 RESUMEN'!$E83)</f>
        <v>52577.586000000003</v>
      </c>
      <c r="R83" s="142">
        <f>SUMIFS('2024 FNDR'!$AB$4:$AB$404,'2024 FNDR'!$H$4:$H$404,'2024 RESUMEN'!E83)</f>
        <v>0</v>
      </c>
      <c r="S83" s="142">
        <f>SUMIFS('2024 FNDR'!$AC$4:$AC$404,'2024 FNDR'!$H$4:$H$404,'2024 RESUMEN'!E83)</f>
        <v>0</v>
      </c>
      <c r="T83" s="88">
        <f t="shared" si="32"/>
        <v>3618368.2790000001</v>
      </c>
      <c r="V83" s="87" t="s">
        <v>91</v>
      </c>
      <c r="W83" s="108">
        <f t="shared" ref="W83:W87" si="33">T83</f>
        <v>3618368.2790000001</v>
      </c>
    </row>
    <row r="84" spans="4:23" ht="18" customHeight="1">
      <c r="D84" s="81"/>
      <c r="E84" s="87" t="s">
        <v>92</v>
      </c>
      <c r="F84" s="108">
        <v>8722537.1339999996</v>
      </c>
      <c r="H84" s="105">
        <f>SUMIFS('2024 FNDR'!$R$4:$R$404,'2024 FNDR'!$H$4:$H$404,'2024 RESUMEN'!E84)</f>
        <v>0</v>
      </c>
      <c r="I84" s="105">
        <f>SUMIFS('2024 FNDR'!$S$4:$S$404,'2024 FNDR'!$H$4:$H$404,'2024 RESUMEN'!E84)+SUMIFS('FRIL 2024'!$J$3:$J$24,'FRIL 2024'!$G$3:$G$24,'2024 RESUMEN'!$E84)</f>
        <v>10243.843999999999</v>
      </c>
      <c r="J84" s="105">
        <f>SUMIFS('2024 FNDR'!$T$4:$T$449,'2024 FNDR'!$H$4:$H$449,'2024 RESUMEN'!E84)+SUMIFS('FRIL 2024'!$K$3:$K$37,'FRIL 2024'!$G$3:$G$37,'2024 RESUMEN'!$E84)</f>
        <v>2166871.6679999996</v>
      </c>
      <c r="K84" s="105">
        <f>SUMIFS('2024 FNDR'!$U$4:$U$404,'2024 FNDR'!$H$4:$H$404,'2024 RESUMEN'!E84)+SUMIFS('FRIL 2024'!$L$3:$L$37,'FRIL 2024'!$G$3:$G$37,'2024 RESUMEN'!$E84)</f>
        <v>31956.083999999999</v>
      </c>
      <c r="L84" s="105">
        <f>SUMIFS('2024 FNDR'!$V$4:$V$404,'2024 FNDR'!$H$4:$H$404,'2024 RESUMEN'!E84)+SUMIFS('FRIL 2024'!$M$3:$M$37,'FRIL 2024'!$G$3:$G$37,'2024 RESUMEN'!$E84)</f>
        <v>3819.81</v>
      </c>
      <c r="M84" s="142">
        <f>SUMIFS('2024 FNDR'!$W$4:$W$416,'2024 FNDR'!$H$4:$H$416,'2024 RESUMEN'!E84)+SUMIFS('FRIL 2024'!$N$3:$N$30,'FRIL 2024'!$G$3:$G$30,'2024 RESUMEN'!$E84)</f>
        <v>67076.482000000004</v>
      </c>
      <c r="N84" s="142">
        <f>SUMIFS('2024 FNDR'!$X$4:$X$404,'2024 FNDR'!$H$4:$H$404,'2024 RESUMEN'!E84)+SUMIFS('FRIL 2024'!$O$3:$O$31,'FRIL 2024'!$G$3:$G$31,'2024 RESUMEN'!$E84)</f>
        <v>36113.332000000002</v>
      </c>
      <c r="O84" s="142">
        <f>SUMIFS('2024 FNDR'!$Y$4:$Y$433,'2024 FNDR'!$H$4:$H$433,'2024 RESUMEN'!E84)+SUMIFS('FRIL 2024'!$P$3:$P$32,'FRIL 2024'!$G$3:$G$32,'2024 RESUMEN'!$E84)</f>
        <v>38012.678</v>
      </c>
      <c r="P84" s="142">
        <f>SUMIFS('2024 FNDR'!$Z$4:$Z$404,'2024 FNDR'!$H$4:$H$404,'2024 RESUMEN'!E84)+SUMIFS('FRIL 2024'!$Q$3:$Q$33,'FRIL 2024'!$G$3:$G$33,'2024 RESUMEN'!$E84)</f>
        <v>203866.66499999998</v>
      </c>
      <c r="Q84" s="142">
        <f>SUMIFS('2024 FNDR'!$AA$4:$AA$466,'2024 FNDR'!$H$4:$H$466,'2024 RESUMEN'!E84)+SUMIFS('FRIL 2024'!$R$3:$R$34,'FRIL 2024'!$G$3:$G$34,'2024 RESUMEN'!$E84)</f>
        <v>20231.189999999999</v>
      </c>
      <c r="R84" s="142">
        <f>SUMIFS('2024 FNDR'!$AB$4:$AB$404,'2024 FNDR'!$H$4:$H$404,'2024 RESUMEN'!E84)</f>
        <v>0</v>
      </c>
      <c r="S84" s="142">
        <f>SUMIFS('2024 FNDR'!$AC$4:$AC$404,'2024 FNDR'!$H$4:$H$404,'2024 RESUMEN'!E84)</f>
        <v>0</v>
      </c>
      <c r="T84" s="88">
        <f t="shared" si="32"/>
        <v>2578191.7529999991</v>
      </c>
      <c r="V84" s="87" t="s">
        <v>92</v>
      </c>
      <c r="W84" s="108">
        <f t="shared" si="33"/>
        <v>2578191.7529999991</v>
      </c>
    </row>
    <row r="85" spans="4:23" ht="18" customHeight="1">
      <c r="D85" s="81"/>
      <c r="E85" s="87" t="s">
        <v>93</v>
      </c>
      <c r="F85" s="108">
        <v>1245535.899</v>
      </c>
      <c r="H85" s="105">
        <f>SUMIFS('2024 FNDR'!$R$4:$R$404,'2024 FNDR'!$H$4:$H$404,'2024 RESUMEN'!E85)</f>
        <v>0</v>
      </c>
      <c r="I85" s="105">
        <f>SUMIFS('2024 FNDR'!$S$4:$S$404,'2024 FNDR'!$H$4:$H$404,'2024 RESUMEN'!E85)+SUMIFS('FRIL 2024'!$J$3:$J$24,'FRIL 2024'!$G$3:$G$24,'2024 RESUMEN'!$E85)</f>
        <v>0</v>
      </c>
      <c r="J85" s="105">
        <f>SUMIFS('2024 FNDR'!$T$4:$T$449,'2024 FNDR'!$H$4:$H$449,'2024 RESUMEN'!E85)+SUMIFS('FRIL 2024'!$K$3:$K$37,'FRIL 2024'!$G$3:$G$37,'2024 RESUMEN'!$E85)</f>
        <v>0</v>
      </c>
      <c r="K85" s="105">
        <f>SUMIFS('2024 FNDR'!$U$4:$U$404,'2024 FNDR'!$H$4:$H$404,'2024 RESUMEN'!E85)+SUMIFS('FRIL 2024'!$L$3:$L$37,'FRIL 2024'!$G$3:$G$37,'2024 RESUMEN'!$E85)</f>
        <v>34643.875</v>
      </c>
      <c r="L85" s="105">
        <f>SUMIFS('2024 FNDR'!$V$4:$V$404,'2024 FNDR'!$H$4:$H$404,'2024 RESUMEN'!E85)+SUMIFS('FRIL 2024'!$M$3:$M$37,'FRIL 2024'!$G$3:$G$37,'2024 RESUMEN'!$E85)</f>
        <v>0</v>
      </c>
      <c r="M85" s="142">
        <f>SUMIFS('2024 FNDR'!$W$4:$W$416,'2024 FNDR'!$H$4:$H$416,'2024 RESUMEN'!E85)+SUMIFS('FRIL 2024'!$N$3:$N$30,'FRIL 2024'!$G$3:$G$30,'2024 RESUMEN'!$E85)</f>
        <v>0</v>
      </c>
      <c r="N85" s="142">
        <f>SUMIFS('2024 FNDR'!$X$4:$X$404,'2024 FNDR'!$H$4:$H$404,'2024 RESUMEN'!E85)+SUMIFS('FRIL 2024'!$O$3:$O$31,'FRIL 2024'!$G$3:$G$31,'2024 RESUMEN'!$E85)</f>
        <v>372613.663</v>
      </c>
      <c r="O85" s="142">
        <f>SUMIFS('2024 FNDR'!$Y$4:$Y$433,'2024 FNDR'!$H$4:$H$433,'2024 RESUMEN'!E85)+SUMIFS('FRIL 2024'!$P$3:$P$32,'FRIL 2024'!$G$3:$G$32,'2024 RESUMEN'!$E85)</f>
        <v>204606.94500000001</v>
      </c>
      <c r="P85" s="142">
        <f>SUMIFS('2024 FNDR'!$Z$4:$Z$404,'2024 FNDR'!$H$4:$H$404,'2024 RESUMEN'!E85)+SUMIFS('FRIL 2024'!$Q$3:$Q$33,'FRIL 2024'!$G$3:$G$33,'2024 RESUMEN'!$E85)</f>
        <v>0</v>
      </c>
      <c r="Q85" s="142">
        <f>SUMIFS('2024 FNDR'!$AA$4:$AA$466,'2024 FNDR'!$H$4:$H$466,'2024 RESUMEN'!E85)+SUMIFS('FRIL 2024'!$R$3:$R$34,'FRIL 2024'!$G$3:$G$34,'2024 RESUMEN'!$E85)</f>
        <v>12510.915999999999</v>
      </c>
      <c r="R85" s="142">
        <f>SUMIFS('2024 FNDR'!$AB$4:$AB$404,'2024 FNDR'!$H$4:$H$404,'2024 RESUMEN'!E85)</f>
        <v>0</v>
      </c>
      <c r="S85" s="142">
        <f>SUMIFS('2024 FNDR'!$AC$4:$AC$404,'2024 FNDR'!$H$4:$H$404,'2024 RESUMEN'!E85)</f>
        <v>0</v>
      </c>
      <c r="T85" s="88">
        <f t="shared" si="32"/>
        <v>624375.39899999998</v>
      </c>
      <c r="V85" s="87" t="s">
        <v>93</v>
      </c>
      <c r="W85" s="108">
        <f t="shared" si="33"/>
        <v>624375.39899999998</v>
      </c>
    </row>
    <row r="86" spans="4:23" ht="18" customHeight="1">
      <c r="D86" s="81"/>
      <c r="E86" s="87" t="s">
        <v>94</v>
      </c>
      <c r="F86" s="108">
        <v>1761484.5349999997</v>
      </c>
      <c r="H86" s="105">
        <f>SUMIFS('2024 FNDR'!$R$4:$R$404,'2024 FNDR'!$H$4:$H$404,'2024 RESUMEN'!E86)</f>
        <v>0</v>
      </c>
      <c r="I86" s="105">
        <f>SUMIFS('2024 FNDR'!$S$4:$S$404,'2024 FNDR'!$H$4:$H$404,'2024 RESUMEN'!E86)+SUMIFS('FRIL 2024'!$J$3:$J$24,'FRIL 2024'!$G$3:$G$24,'2024 RESUMEN'!$E86)</f>
        <v>41657.288999999997</v>
      </c>
      <c r="J86" s="105">
        <f>SUMIFS('2024 FNDR'!$T$4:$T$449,'2024 FNDR'!$H$4:$H$449,'2024 RESUMEN'!E86)+SUMIFS('FRIL 2024'!$K$3:$K$37,'FRIL 2024'!$G$3:$G$37,'2024 RESUMEN'!$E86)</f>
        <v>42862.381000000001</v>
      </c>
      <c r="K86" s="105">
        <f>SUMIFS('2024 FNDR'!$U$4:$U$404,'2024 FNDR'!$H$4:$H$404,'2024 RESUMEN'!E86)+SUMIFS('FRIL 2024'!$L$3:$L$37,'FRIL 2024'!$G$3:$G$37,'2024 RESUMEN'!$E86)</f>
        <v>65786.543000000005</v>
      </c>
      <c r="L86" s="105">
        <f>SUMIFS('2024 FNDR'!$V$4:$V$404,'2024 FNDR'!$H$4:$H$404,'2024 RESUMEN'!E86)+SUMIFS('FRIL 2024'!$M$3:$M$37,'FRIL 2024'!$G$3:$G$37,'2024 RESUMEN'!$E86)</f>
        <v>0</v>
      </c>
      <c r="M86" s="142">
        <f>SUMIFS('2024 FNDR'!$W$4:$W$416,'2024 FNDR'!$H$4:$H$416,'2024 RESUMEN'!E86)+SUMIFS('FRIL 2024'!$N$3:$N$30,'FRIL 2024'!$G$3:$G$30,'2024 RESUMEN'!$E86)</f>
        <v>0</v>
      </c>
      <c r="N86" s="142">
        <f>SUMIFS('2024 FNDR'!$X$4:$X$404,'2024 FNDR'!$H$4:$H$404,'2024 RESUMEN'!E86)+SUMIFS('FRIL 2024'!$O$3:$O$31,'FRIL 2024'!$G$3:$G$31,'2024 RESUMEN'!$E86)</f>
        <v>34985.311999999998</v>
      </c>
      <c r="O86" s="142">
        <f>SUMIFS('2024 FNDR'!$Y$4:$Y$433,'2024 FNDR'!$H$4:$H$433,'2024 RESUMEN'!E86)+SUMIFS('FRIL 2024'!$P$3:$P$32,'FRIL 2024'!$G$3:$G$32,'2024 RESUMEN'!$E86)</f>
        <v>177892.1</v>
      </c>
      <c r="P86" s="142">
        <f>SUMIFS('2024 FNDR'!$Z$4:$Z$404,'2024 FNDR'!$H$4:$H$404,'2024 RESUMEN'!E86)+SUMIFS('FRIL 2024'!$Q$3:$Q$33,'FRIL 2024'!$G$3:$G$33,'2024 RESUMEN'!$E86)</f>
        <v>0</v>
      </c>
      <c r="Q86" s="142">
        <f>SUMIFS('2024 FNDR'!$AA$4:$AA$466,'2024 FNDR'!$H$4:$H$466,'2024 RESUMEN'!E86)+SUMIFS('FRIL 2024'!$R$3:$R$34,'FRIL 2024'!$G$3:$G$34,'2024 RESUMEN'!$E86)</f>
        <v>0</v>
      </c>
      <c r="R86" s="142">
        <f>SUMIFS('2024 FNDR'!$AB$4:$AB$404,'2024 FNDR'!$H$4:$H$404,'2024 RESUMEN'!E86)</f>
        <v>0</v>
      </c>
      <c r="S86" s="142">
        <f>SUMIFS('2024 FNDR'!$AC$4:$AC$404,'2024 FNDR'!$H$4:$H$404,'2024 RESUMEN'!E86)</f>
        <v>0</v>
      </c>
      <c r="T86" s="88">
        <f t="shared" si="32"/>
        <v>363183.625</v>
      </c>
      <c r="V86" s="87" t="s">
        <v>94</v>
      </c>
      <c r="W86" s="108">
        <f t="shared" si="33"/>
        <v>363183.625</v>
      </c>
    </row>
    <row r="87" spans="4:23" ht="18" customHeight="1">
      <c r="D87" s="81"/>
      <c r="E87" s="87" t="s">
        <v>95</v>
      </c>
      <c r="F87" s="108">
        <v>0</v>
      </c>
      <c r="H87" s="105">
        <f>SUMIFS('2024 FNDR'!$R$4:$R$404,'2024 FNDR'!$H$4:$H$404,'2024 RESUMEN'!E87)</f>
        <v>0</v>
      </c>
      <c r="I87" s="105">
        <f>SUMIFS('2024 FNDR'!$S$4:$S$404,'2024 FNDR'!$H$4:$H$404,'2024 RESUMEN'!E87)+SUMIFS('FRIL 2024'!$J$3:$J$24,'FRIL 2024'!$G$3:$G$24,'2024 RESUMEN'!$E87)</f>
        <v>0</v>
      </c>
      <c r="J87" s="105">
        <f>SUMIFS('2024 FNDR'!$T$4:$T$449,'2024 FNDR'!$H$4:$H$449,'2024 RESUMEN'!E87)+SUMIFS('FRIL 2024'!$K$3:$K$37,'FRIL 2024'!$G$3:$G$37,'2024 RESUMEN'!$E87)</f>
        <v>0</v>
      </c>
      <c r="K87" s="105">
        <f>SUMIFS('2024 FNDR'!$U$4:$U$404,'2024 FNDR'!$H$4:$H$404,'2024 RESUMEN'!E87)+SUMIFS('FRIL 2024'!$L$3:$L$37,'FRIL 2024'!$G$3:$G$37,'2024 RESUMEN'!$E87)</f>
        <v>0</v>
      </c>
      <c r="L87" s="105">
        <f>SUMIFS('2024 FNDR'!$V$4:$V$404,'2024 FNDR'!$H$4:$H$404,'2024 RESUMEN'!E87)+SUMIFS('FRIL 2024'!$M$3:$M$37,'FRIL 2024'!$G$3:$G$37,'2024 RESUMEN'!$E87)</f>
        <v>0</v>
      </c>
      <c r="M87" s="142">
        <f>SUMIFS('2024 FNDR'!$W$4:$W$416,'2024 FNDR'!$H$4:$H$416,'2024 RESUMEN'!E87)+SUMIFS('FRIL 2024'!$N$3:$N$30,'FRIL 2024'!$G$3:$G$30,'2024 RESUMEN'!$E87)</f>
        <v>0</v>
      </c>
      <c r="N87" s="142">
        <f>SUMIFS('2024 FNDR'!$X$4:$X$404,'2024 FNDR'!$H$4:$H$404,'2024 RESUMEN'!E87)+SUMIFS('FRIL 2024'!$O$3:$O$31,'FRIL 2024'!$G$3:$G$31,'2024 RESUMEN'!$E87)</f>
        <v>0</v>
      </c>
      <c r="O87" s="142">
        <f>SUMIFS('2024 FNDR'!$Y$4:$Y$433,'2024 FNDR'!$H$4:$H$433,'2024 RESUMEN'!E87)+SUMIFS('FRIL 2024'!$P$3:$P$32,'FRIL 2024'!$G$3:$G$32,'2024 RESUMEN'!$E87)</f>
        <v>0</v>
      </c>
      <c r="P87" s="142">
        <f>SUMIFS('2024 FNDR'!$Z$4:$Z$404,'2024 FNDR'!$H$4:$H$404,'2024 RESUMEN'!E87)+SUMIFS('FRIL 2024'!$Q$3:$Q$33,'FRIL 2024'!$G$3:$G$33,'2024 RESUMEN'!$E87)</f>
        <v>0</v>
      </c>
      <c r="Q87" s="142">
        <f>SUMIFS('2024 FNDR'!$AA$4:$AA$466,'2024 FNDR'!$H$4:$H$466,'2024 RESUMEN'!E87)+SUMIFS('FRIL 2024'!$R$3:$R$34,'FRIL 2024'!$G$3:$G$34,'2024 RESUMEN'!$E87)</f>
        <v>0</v>
      </c>
      <c r="R87" s="142">
        <f>SUMIFS('2024 FNDR'!$AB$4:$AB$404,'2024 FNDR'!$H$4:$H$404,'2024 RESUMEN'!E87)</f>
        <v>0</v>
      </c>
      <c r="S87" s="142">
        <f>SUMIFS('2024 FNDR'!$AC$4:$AC$404,'2024 FNDR'!$H$4:$H$404,'2024 RESUMEN'!E87)</f>
        <v>0</v>
      </c>
      <c r="T87" s="88">
        <f t="shared" si="32"/>
        <v>0</v>
      </c>
      <c r="V87" s="87" t="s">
        <v>95</v>
      </c>
      <c r="W87" s="108">
        <f t="shared" si="33"/>
        <v>0</v>
      </c>
    </row>
    <row r="88" spans="4:23" ht="18" customHeight="1">
      <c r="D88" s="81"/>
      <c r="E88" s="97" t="s">
        <v>96</v>
      </c>
      <c r="F88" s="98">
        <v>24299661.194999997</v>
      </c>
      <c r="G88" s="89"/>
      <c r="H88" s="99">
        <f>SUM(H82:H87)</f>
        <v>0</v>
      </c>
      <c r="I88" s="99">
        <f t="shared" ref="I88:S88" si="34">SUM(I82:I87)</f>
        <v>63905.513999999996</v>
      </c>
      <c r="J88" s="99">
        <f t="shared" si="34"/>
        <v>3129430.943</v>
      </c>
      <c r="K88" s="99">
        <f t="shared" si="34"/>
        <v>1166249.149</v>
      </c>
      <c r="L88" s="99">
        <f t="shared" si="34"/>
        <v>1311508.5340000002</v>
      </c>
      <c r="M88" s="99">
        <f t="shared" si="34"/>
        <v>482615.24700000003</v>
      </c>
      <c r="N88" s="99">
        <f t="shared" si="34"/>
        <v>1203845.2239999999</v>
      </c>
      <c r="O88" s="99">
        <f t="shared" si="34"/>
        <v>737414.42599999998</v>
      </c>
      <c r="P88" s="99">
        <f t="shared" si="34"/>
        <v>364685.24699999997</v>
      </c>
      <c r="Q88" s="99">
        <f t="shared" si="34"/>
        <v>87795.51</v>
      </c>
      <c r="R88" s="99">
        <f t="shared" si="34"/>
        <v>0</v>
      </c>
      <c r="S88" s="99">
        <f t="shared" si="34"/>
        <v>0</v>
      </c>
      <c r="T88" s="99">
        <f>SUM(T82:T87)</f>
        <v>8547449.7939999998</v>
      </c>
      <c r="V88" s="97" t="s">
        <v>96</v>
      </c>
      <c r="W88" s="98">
        <f>SUM(W82:W87)</f>
        <v>8547449.7939999998</v>
      </c>
    </row>
    <row r="89" spans="4:23" ht="18" customHeight="1">
      <c r="D89" s="81"/>
      <c r="E89" s="87" t="s">
        <v>97</v>
      </c>
      <c r="F89" s="5">
        <v>8872253.7129999995</v>
      </c>
      <c r="H89" s="106">
        <f>SUMIFS('2024 FNDR'!$R$4:$R$404,'2024 FNDR'!$H$4:$H$404,'2024 RESUMEN'!E89)</f>
        <v>0</v>
      </c>
      <c r="I89" s="106">
        <f>SUMIFS('2024 FNDR'!$S$4:$S$404,'2024 FNDR'!$H$4:$H$404,'2024 RESUMEN'!E89)+SUMIFS('FRIL 2024'!$J$3:$J$24,'FRIL 2024'!$G$3:$G$24,'2024 RESUMEN'!$E89)</f>
        <v>9409.4779999999992</v>
      </c>
      <c r="J89" s="106">
        <f>SUMIFS('2024 FNDR'!$T$4:$T$449,'2024 FNDR'!$H$4:$H$449,'2024 RESUMEN'!E89)+SUMIFS('FRIL 2024'!$K$3:$K$37,'FRIL 2024'!$G$3:$G$37,'2024 RESUMEN'!$E89)</f>
        <v>1857456.703</v>
      </c>
      <c r="K89" s="106">
        <f>SUMIFS('2024 FNDR'!$U$4:$U$404,'2024 FNDR'!$H$4:$H$404,'2024 RESUMEN'!E89)+SUMIFS('FRIL 2024'!$L$3:$L$37,'FRIL 2024'!$G$3:$G$37,'2024 RESUMEN'!$E89)</f>
        <v>1153958.8</v>
      </c>
      <c r="L89" s="106">
        <f>SUMIFS('2024 FNDR'!$V$4:$V$404,'2024 FNDR'!$H$4:$H$404,'2024 RESUMEN'!E89)+SUMIFS('FRIL 2024'!$M$3:$M$37,'FRIL 2024'!$G$3:$G$37,'2024 RESUMEN'!$E89)</f>
        <v>1103526.3560000001</v>
      </c>
      <c r="M89" s="143">
        <f>SUMIFS('2024 FNDR'!$W$4:$W$416,'2024 FNDR'!$H$4:$H$416,'2024 RESUMEN'!E89)+SUMIFS('FRIL 2024'!$N$3:$N$30,'FRIL 2024'!$G$3:$G$30,'2024 RESUMEN'!$E89)</f>
        <v>1044598.674</v>
      </c>
      <c r="N89" s="143">
        <f>SUMIFS('2024 FNDR'!$X$4:$X$404,'2024 FNDR'!$H$4:$H$404,'2024 RESUMEN'!E89)+SUMIFS('FRIL 2024'!$O$3:$O$31,'FRIL 2024'!$G$3:$G$31,'2024 RESUMEN'!$E89)</f>
        <v>835217.09299999999</v>
      </c>
      <c r="O89" s="143">
        <f>SUMIFS('2024 FNDR'!$Y$4:$Y$433,'2024 FNDR'!$H$4:$H$433,'2024 RESUMEN'!E89)+SUMIFS('FRIL 2024'!$P$3:$P$32,'FRIL 2024'!$G$3:$G$32,'2024 RESUMEN'!$E89)</f>
        <v>774229.53399999999</v>
      </c>
      <c r="P89" s="143">
        <f>SUMIFS('2024 FNDR'!$Z$4:$Z$404,'2024 FNDR'!$H$4:$H$404,'2024 RESUMEN'!E89)+SUMIFS('FRIL 2024'!$Q$3:$Q$33,'FRIL 2024'!$G$3:$G$33,'2024 RESUMEN'!$E89)</f>
        <v>500231.02799999999</v>
      </c>
      <c r="Q89" s="143">
        <f>SUMIFS('2024 FNDR'!$AA$4:$AA$466,'2024 FNDR'!$H$4:$H$466,'2024 RESUMEN'!E89)+SUMIFS('FRIL 2024'!$R$3:$R$34,'FRIL 2024'!$G$3:$G$34,'2024 RESUMEN'!$E89)</f>
        <v>137013.16800000001</v>
      </c>
      <c r="R89" s="143">
        <f>SUMIFS('2024 FNDR'!$AB$4:$AB$404,'2024 FNDR'!$H$4:$H$404,'2024 RESUMEN'!E89)</f>
        <v>0</v>
      </c>
      <c r="S89" s="143">
        <f>SUMIFS('2024 FNDR'!$AC$4:$AC$404,'2024 FNDR'!$H$4:$H$404,'2024 RESUMEN'!E89)</f>
        <v>0</v>
      </c>
      <c r="T89" s="88">
        <f>SUMIFS(H89:S89,$H$72:$S$72,"ejecutado")</f>
        <v>7415640.8339999998</v>
      </c>
      <c r="V89" s="87" t="s">
        <v>97</v>
      </c>
      <c r="W89" s="5">
        <f>T89</f>
        <v>7415640.8339999998</v>
      </c>
    </row>
    <row r="90" spans="4:23" ht="18" customHeight="1">
      <c r="D90" s="81"/>
      <c r="E90" s="87" t="s">
        <v>98</v>
      </c>
      <c r="F90" s="5">
        <v>1853003.1999999997</v>
      </c>
      <c r="H90" s="106">
        <f>SUMIFS('2024 FNDR'!$R$4:$R$404,'2024 FNDR'!$H$4:$H$404,'2024 RESUMEN'!E90)</f>
        <v>0</v>
      </c>
      <c r="I90" s="106">
        <f>SUMIFS('2024 FNDR'!$S$4:$S$404,'2024 FNDR'!$H$4:$H$404,'2024 RESUMEN'!E90)+SUMIFS('FRIL 2024'!$J$3:$J$24,'FRIL 2024'!$G$3:$G$24,'2024 RESUMEN'!$E90)</f>
        <v>0</v>
      </c>
      <c r="J90" s="106">
        <f>SUMIFS('2024 FNDR'!$T$4:$T$449,'2024 FNDR'!$H$4:$H$449,'2024 RESUMEN'!E90)+SUMIFS('FRIL 2024'!$K$3:$K$37,'FRIL 2024'!$G$3:$G$37,'2024 RESUMEN'!$E90)</f>
        <v>159122.783</v>
      </c>
      <c r="K90" s="106">
        <f>SUMIFS('2024 FNDR'!$U$4:$U$404,'2024 FNDR'!$H$4:$H$404,'2024 RESUMEN'!E90)+SUMIFS('FRIL 2024'!$L$3:$L$37,'FRIL 2024'!$G$3:$G$37,'2024 RESUMEN'!$E90)</f>
        <v>455969.43900000001</v>
      </c>
      <c r="L90" s="106">
        <f>SUMIFS('2024 FNDR'!$V$4:$V$404,'2024 FNDR'!$H$4:$H$404,'2024 RESUMEN'!E90)+SUMIFS('FRIL 2024'!$M$3:$M$37,'FRIL 2024'!$G$3:$G$37,'2024 RESUMEN'!$E90)</f>
        <v>120016.739</v>
      </c>
      <c r="M90" s="143">
        <f>SUMIFS('2024 FNDR'!$W$4:$W$416,'2024 FNDR'!$H$4:$H$416,'2024 RESUMEN'!E90)+SUMIFS('FRIL 2024'!$N$3:$N$30,'FRIL 2024'!$G$3:$G$30,'2024 RESUMEN'!$E90)</f>
        <v>48703.595000000001</v>
      </c>
      <c r="N90" s="143">
        <f>SUMIFS('2024 FNDR'!$X$4:$X$404,'2024 FNDR'!$H$4:$H$404,'2024 RESUMEN'!E90)+SUMIFS('FRIL 2024'!$O$3:$O$31,'FRIL 2024'!$G$3:$G$31,'2024 RESUMEN'!$E90)</f>
        <v>151418.81200000001</v>
      </c>
      <c r="O90" s="143">
        <f>SUMIFS('2024 FNDR'!$Y$4:$Y$433,'2024 FNDR'!$H$4:$H$433,'2024 RESUMEN'!E90)+SUMIFS('FRIL 2024'!$P$3:$P$32,'FRIL 2024'!$G$3:$G$32,'2024 RESUMEN'!$E90)</f>
        <v>254232.772</v>
      </c>
      <c r="P90" s="143">
        <f>SUMIFS('2024 FNDR'!$Z$4:$Z$404,'2024 FNDR'!$H$4:$H$404,'2024 RESUMEN'!E90)+SUMIFS('FRIL 2024'!$Q$3:$Q$33,'FRIL 2024'!$G$3:$G$33,'2024 RESUMEN'!$E90)</f>
        <v>29314.799999999999</v>
      </c>
      <c r="Q90" s="143">
        <f>SUMIFS('2024 FNDR'!$AA$4:$AA$466,'2024 FNDR'!$H$4:$H$466,'2024 RESUMEN'!E90)+SUMIFS('FRIL 2024'!$R$3:$R$34,'FRIL 2024'!$G$3:$G$34,'2024 RESUMEN'!$E90)</f>
        <v>331065.21900000004</v>
      </c>
      <c r="R90" s="143">
        <f>SUMIFS('2024 FNDR'!$AB$4:$AB$404,'2024 FNDR'!$H$4:$H$404,'2024 RESUMEN'!E90)</f>
        <v>0</v>
      </c>
      <c r="S90" s="143">
        <f>SUMIFS('2024 FNDR'!$AC$4:$AC$404,'2024 FNDR'!$H$4:$H$404,'2024 RESUMEN'!E90)</f>
        <v>0</v>
      </c>
      <c r="T90" s="88">
        <f>SUMIFS(H90:S90,$H$72:$S$72,"ejecutado")</f>
        <v>1549844.1590000002</v>
      </c>
      <c r="V90" s="87" t="s">
        <v>98</v>
      </c>
      <c r="W90" s="5">
        <f t="shared" ref="W90:W93" si="35">T90</f>
        <v>1549844.1590000002</v>
      </c>
    </row>
    <row r="91" spans="4:23" ht="18" customHeight="1">
      <c r="D91" s="81"/>
      <c r="E91" s="87" t="s">
        <v>99</v>
      </c>
      <c r="F91" s="5">
        <v>4492978.09</v>
      </c>
      <c r="H91" s="106">
        <f>SUMIFS('2024 FNDR'!$R$4:$R$404,'2024 FNDR'!$H$4:$H$404,'2024 RESUMEN'!E91)</f>
        <v>0</v>
      </c>
      <c r="I91" s="106">
        <f>SUMIFS('2024 FNDR'!$S$4:$S$404,'2024 FNDR'!$H$4:$H$404,'2024 RESUMEN'!E91)+SUMIFS('FRIL 2024'!$J$3:$J$24,'FRIL 2024'!$G$3:$G$24,'2024 RESUMEN'!$E91)</f>
        <v>223588.66200000001</v>
      </c>
      <c r="J91" s="106">
        <f>SUMIFS('2024 FNDR'!$T$4:$T$449,'2024 FNDR'!$H$4:$H$449,'2024 RESUMEN'!E91)+SUMIFS('FRIL 2024'!$K$3:$K$37,'FRIL 2024'!$G$3:$G$37,'2024 RESUMEN'!$E91)</f>
        <v>311419.48999999993</v>
      </c>
      <c r="K91" s="106">
        <f>SUMIFS('2024 FNDR'!$U$4:$U$404,'2024 FNDR'!$H$4:$H$404,'2024 RESUMEN'!E91)+SUMIFS('FRIL 2024'!$L$3:$L$37,'FRIL 2024'!$G$3:$G$37,'2024 RESUMEN'!$E91)</f>
        <v>130725.015</v>
      </c>
      <c r="L91" s="106">
        <f>SUMIFS('2024 FNDR'!$V$4:$V$404,'2024 FNDR'!$H$4:$H$404,'2024 RESUMEN'!E91)+SUMIFS('FRIL 2024'!$M$3:$M$37,'FRIL 2024'!$G$3:$G$37,'2024 RESUMEN'!$E91)</f>
        <v>282512.15100000001</v>
      </c>
      <c r="M91" s="143">
        <f>SUMIFS('2024 FNDR'!$W$4:$W$416,'2024 FNDR'!$H$4:$H$416,'2024 RESUMEN'!E91)+SUMIFS('FRIL 2024'!$N$3:$N$30,'FRIL 2024'!$G$3:$G$30,'2024 RESUMEN'!$E91)</f>
        <v>57396.003000000004</v>
      </c>
      <c r="N91" s="143">
        <f>SUMIFS('2024 FNDR'!$X$4:$X$404,'2024 FNDR'!$H$4:$H$404,'2024 RESUMEN'!E91)+SUMIFS('FRIL 2024'!$O$3:$O$31,'FRIL 2024'!$G$3:$G$31,'2024 RESUMEN'!$E91)</f>
        <v>152717.53899999999</v>
      </c>
      <c r="O91" s="143">
        <f>SUMIFS('2024 FNDR'!$Y$4:$Y$433,'2024 FNDR'!$H$4:$H$433,'2024 RESUMEN'!E91)+SUMIFS('FRIL 2024'!$P$3:$P$32,'FRIL 2024'!$G$3:$G$32,'2024 RESUMEN'!$E91)</f>
        <v>75688.539999999994</v>
      </c>
      <c r="P91" s="143">
        <f>SUMIFS('2024 FNDR'!$Z$4:$Z$404,'2024 FNDR'!$H$4:$H$404,'2024 RESUMEN'!E91)+SUMIFS('FRIL 2024'!$Q$3:$Q$33,'FRIL 2024'!$G$3:$G$33,'2024 RESUMEN'!$E91)</f>
        <v>302964.66700000007</v>
      </c>
      <c r="Q91" s="143">
        <f>SUMIFS('2024 FNDR'!$AA$4:$AA$466,'2024 FNDR'!$H$4:$H$466,'2024 RESUMEN'!E91)+SUMIFS('FRIL 2024'!$R$3:$R$34,'FRIL 2024'!$G$3:$G$34,'2024 RESUMEN'!$E91)</f>
        <v>41084.503000000004</v>
      </c>
      <c r="R91" s="143">
        <f>SUMIFS('2024 FNDR'!$AB$4:$AB$404,'2024 FNDR'!$H$4:$H$404,'2024 RESUMEN'!E91)</f>
        <v>0</v>
      </c>
      <c r="S91" s="143">
        <f>SUMIFS('2024 FNDR'!$AC$4:$AC$404,'2024 FNDR'!$H$4:$H$404,'2024 RESUMEN'!E91)</f>
        <v>0</v>
      </c>
      <c r="T91" s="88">
        <f>SUMIFS(H91:S91,$H$72:$S$72,"ejecutado")</f>
        <v>1578096.57</v>
      </c>
      <c r="V91" s="87" t="s">
        <v>99</v>
      </c>
      <c r="W91" s="5">
        <f t="shared" si="35"/>
        <v>1578096.57</v>
      </c>
    </row>
    <row r="92" spans="4:23" ht="18" customHeight="1">
      <c r="D92" s="81"/>
      <c r="E92" s="87" t="s">
        <v>100</v>
      </c>
      <c r="F92" s="5">
        <v>2096628.8430000001</v>
      </c>
      <c r="H92" s="106">
        <f>SUMIFS('2024 FNDR'!$R$4:$R$404,'2024 FNDR'!$H$4:$H$404,'2024 RESUMEN'!E92)</f>
        <v>0</v>
      </c>
      <c r="I92" s="106">
        <f>SUMIFS('2024 FNDR'!$S$4:$S$404,'2024 FNDR'!$H$4:$H$404,'2024 RESUMEN'!E92)+SUMIFS('FRIL 2024'!$J$3:$J$24,'FRIL 2024'!$G$3:$G$24,'2024 RESUMEN'!$E92)</f>
        <v>14398.618999999999</v>
      </c>
      <c r="J92" s="106">
        <f>SUMIFS('2024 FNDR'!$T$4:$T$449,'2024 FNDR'!$H$4:$H$449,'2024 RESUMEN'!E92)+SUMIFS('FRIL 2024'!$K$3:$K$37,'FRIL 2024'!$G$3:$G$37,'2024 RESUMEN'!$E92)</f>
        <v>14848.093000000001</v>
      </c>
      <c r="K92" s="106">
        <f>SUMIFS('2024 FNDR'!$U$4:$U$404,'2024 FNDR'!$H$4:$H$404,'2024 RESUMEN'!E92)+SUMIFS('FRIL 2024'!$L$3:$L$37,'FRIL 2024'!$G$3:$G$37,'2024 RESUMEN'!$E92)</f>
        <v>20421.227999999999</v>
      </c>
      <c r="L92" s="106">
        <f>SUMIFS('2024 FNDR'!$V$4:$V$404,'2024 FNDR'!$H$4:$H$404,'2024 RESUMEN'!E92)+SUMIFS('FRIL 2024'!$M$3:$M$37,'FRIL 2024'!$G$3:$G$37,'2024 RESUMEN'!$E92)</f>
        <v>0</v>
      </c>
      <c r="M92" s="143">
        <f>SUMIFS('2024 FNDR'!$W$4:$W$416,'2024 FNDR'!$H$4:$H$416,'2024 RESUMEN'!E92)+SUMIFS('FRIL 2024'!$N$3:$N$30,'FRIL 2024'!$G$3:$G$30,'2024 RESUMEN'!$E92)</f>
        <v>0</v>
      </c>
      <c r="N92" s="143">
        <f>SUMIFS('2024 FNDR'!$X$4:$X$404,'2024 FNDR'!$H$4:$H$404,'2024 RESUMEN'!E92)+SUMIFS('FRIL 2024'!$O$3:$O$31,'FRIL 2024'!$G$3:$G$31,'2024 RESUMEN'!$E92)</f>
        <v>37696.036999999997</v>
      </c>
      <c r="O92" s="143">
        <f>SUMIFS('2024 FNDR'!$Y$4:$Y$433,'2024 FNDR'!$H$4:$H$433,'2024 RESUMEN'!E92)+SUMIFS('FRIL 2024'!$P$3:$P$32,'FRIL 2024'!$G$3:$G$32,'2024 RESUMEN'!$E92)</f>
        <v>0</v>
      </c>
      <c r="P92" s="143">
        <f>SUMIFS('2024 FNDR'!$Z$4:$Z$404,'2024 FNDR'!$H$4:$H$404,'2024 RESUMEN'!E92)+SUMIFS('FRIL 2024'!$Q$3:$Q$33,'FRIL 2024'!$G$3:$G$33,'2024 RESUMEN'!$E92)</f>
        <v>144696.87</v>
      </c>
      <c r="Q92" s="143">
        <f>SUMIFS('2024 FNDR'!$AA$4:$AA$466,'2024 FNDR'!$H$4:$H$466,'2024 RESUMEN'!E92)+SUMIFS('FRIL 2024'!$R$3:$R$34,'FRIL 2024'!$G$3:$G$34,'2024 RESUMEN'!$E92)</f>
        <v>108871.133</v>
      </c>
      <c r="R92" s="143">
        <f>SUMIFS('2024 FNDR'!$AB$4:$AB$404,'2024 FNDR'!$H$4:$H$404,'2024 RESUMEN'!E92)</f>
        <v>0</v>
      </c>
      <c r="S92" s="143">
        <f>SUMIFS('2024 FNDR'!$AC$4:$AC$404,'2024 FNDR'!$H$4:$H$404,'2024 RESUMEN'!E92)</f>
        <v>0</v>
      </c>
      <c r="T92" s="88">
        <f>SUMIFS(H92:S92,$H$72:$S$72,"ejecutado")</f>
        <v>340931.98</v>
      </c>
      <c r="V92" s="87" t="s">
        <v>100</v>
      </c>
      <c r="W92" s="5">
        <f t="shared" si="35"/>
        <v>340931.98</v>
      </c>
    </row>
    <row r="93" spans="4:23" ht="18" customHeight="1">
      <c r="D93" s="81"/>
      <c r="E93" s="87" t="s">
        <v>101</v>
      </c>
      <c r="F93" s="5">
        <v>0</v>
      </c>
      <c r="H93" s="106">
        <f>SUMIFS('2024 FNDR'!$R$4:$R$404,'2024 FNDR'!$H$4:$H$404,'2024 RESUMEN'!E93)</f>
        <v>0</v>
      </c>
      <c r="I93" s="106">
        <f>SUMIFS('2024 FNDR'!$S$4:$S$404,'2024 FNDR'!$H$4:$H$404,'2024 RESUMEN'!E93)+SUMIFS('FRIL 2024'!$J$3:$J$24,'FRIL 2024'!$G$3:$G$24,'2024 RESUMEN'!$E93)</f>
        <v>0</v>
      </c>
      <c r="J93" s="106">
        <f>SUMIFS('2024 FNDR'!$T$4:$T$449,'2024 FNDR'!$H$4:$H$449,'2024 RESUMEN'!E93)+SUMIFS('FRIL 2024'!$K$3:$K$37,'FRIL 2024'!$G$3:$G$37,'2024 RESUMEN'!$E93)</f>
        <v>0</v>
      </c>
      <c r="K93" s="106">
        <f>SUMIFS('2024 FNDR'!$U$4:$U$404,'2024 FNDR'!$H$4:$H$404,'2024 RESUMEN'!E93)+SUMIFS('FRIL 2024'!$L$3:$L$37,'FRIL 2024'!$G$3:$G$37,'2024 RESUMEN'!$E93)</f>
        <v>0</v>
      </c>
      <c r="L93" s="106">
        <f>SUMIFS('2024 FNDR'!$V$4:$V$404,'2024 FNDR'!$H$4:$H$404,'2024 RESUMEN'!E93)+SUMIFS('FRIL 2024'!$M$3:$M$37,'FRIL 2024'!$G$3:$G$37,'2024 RESUMEN'!$E93)</f>
        <v>0</v>
      </c>
      <c r="M93" s="143">
        <f>SUMIFS('2024 FNDR'!$W$4:$W$416,'2024 FNDR'!$H$4:$H$416,'2024 RESUMEN'!E93)+SUMIFS('FRIL 2024'!$N$3:$N$30,'FRIL 2024'!$G$3:$G$30,'2024 RESUMEN'!$E93)</f>
        <v>0</v>
      </c>
      <c r="N93" s="143">
        <f>SUMIFS('2024 FNDR'!$X$4:$X$404,'2024 FNDR'!$H$4:$H$404,'2024 RESUMEN'!E93)+SUMIFS('FRIL 2024'!$O$3:$O$31,'FRIL 2024'!$G$3:$G$31,'2024 RESUMEN'!$E93)</f>
        <v>0</v>
      </c>
      <c r="O93" s="143">
        <f>SUMIFS('2024 FNDR'!$Y$4:$Y$433,'2024 FNDR'!$H$4:$H$433,'2024 RESUMEN'!E93)+SUMIFS('FRIL 2024'!$P$3:$P$32,'FRIL 2024'!$G$3:$G$32,'2024 RESUMEN'!$E93)</f>
        <v>0</v>
      </c>
      <c r="P93" s="143">
        <f>SUMIFS('2024 FNDR'!$Z$4:$Z$404,'2024 FNDR'!$H$4:$H$404,'2024 RESUMEN'!E93)+SUMIFS('FRIL 2024'!$Q$3:$Q$33,'FRIL 2024'!$G$3:$G$33,'2024 RESUMEN'!$E93)</f>
        <v>0</v>
      </c>
      <c r="Q93" s="143">
        <f>SUMIFS('2024 FNDR'!$AA$4:$AA$466,'2024 FNDR'!$H$4:$H$466,'2024 RESUMEN'!E93)+SUMIFS('FRIL 2024'!$R$3:$R$34,'FRIL 2024'!$G$3:$G$34,'2024 RESUMEN'!$E93)</f>
        <v>0</v>
      </c>
      <c r="R93" s="143">
        <f>SUMIFS('2024 FNDR'!$AB$4:$AB$404,'2024 FNDR'!$H$4:$H$404,'2024 RESUMEN'!E93)</f>
        <v>0</v>
      </c>
      <c r="S93" s="143">
        <f>SUMIFS('2024 FNDR'!$AC$4:$AC$404,'2024 FNDR'!$H$4:$H$404,'2024 RESUMEN'!E93)</f>
        <v>0</v>
      </c>
      <c r="T93" s="88">
        <f>SUMIFS(H93:S93,$H$72:$S$72,"ejecutado")</f>
        <v>0</v>
      </c>
      <c r="V93" s="87" t="s">
        <v>101</v>
      </c>
      <c r="W93" s="5">
        <f t="shared" si="35"/>
        <v>0</v>
      </c>
    </row>
    <row r="94" spans="4:23" ht="18" customHeight="1">
      <c r="D94" s="81"/>
      <c r="E94" s="100" t="s">
        <v>102</v>
      </c>
      <c r="F94" s="101">
        <v>17314863.845999997</v>
      </c>
      <c r="H94" s="102">
        <f>SUM(H89:H93)</f>
        <v>0</v>
      </c>
      <c r="I94" s="102">
        <f>SUM(I89:I93)</f>
        <v>247396.75900000002</v>
      </c>
      <c r="J94" s="102">
        <f t="shared" ref="J94:S94" si="36">SUM(J89:J93)</f>
        <v>2342847.0689999997</v>
      </c>
      <c r="K94" s="102">
        <f t="shared" si="36"/>
        <v>1761074.4819999998</v>
      </c>
      <c r="L94" s="102">
        <f t="shared" si="36"/>
        <v>1506055.2460000003</v>
      </c>
      <c r="M94" s="102">
        <f t="shared" si="36"/>
        <v>1150698.2720000001</v>
      </c>
      <c r="N94" s="102">
        <f t="shared" si="36"/>
        <v>1177049.4810000001</v>
      </c>
      <c r="O94" s="102">
        <f t="shared" si="36"/>
        <v>1104150.8459999999</v>
      </c>
      <c r="P94" s="102">
        <f t="shared" si="36"/>
        <v>977207.36500000011</v>
      </c>
      <c r="Q94" s="102">
        <f>SUM(Q89:Q93)</f>
        <v>618034.02300000004</v>
      </c>
      <c r="R94" s="102">
        <f t="shared" si="36"/>
        <v>0</v>
      </c>
      <c r="S94" s="102">
        <f t="shared" si="36"/>
        <v>0</v>
      </c>
      <c r="T94" s="102">
        <f>SUM(T89:T93)</f>
        <v>10884513.543000001</v>
      </c>
      <c r="V94" s="100" t="s">
        <v>102</v>
      </c>
      <c r="W94" s="101">
        <f>SUM(W89:W93)</f>
        <v>10884513.543000001</v>
      </c>
    </row>
    <row r="95" spans="4:23" ht="18" customHeight="1">
      <c r="D95" s="81"/>
      <c r="E95" s="109" t="s">
        <v>103</v>
      </c>
      <c r="F95" s="110">
        <v>9073796.720999999</v>
      </c>
      <c r="G95" s="89"/>
      <c r="H95" s="111">
        <f>SUMIFS('2024 FNDR'!$R$4:$R$404,'2024 FNDR'!$H$4:$H$404,'2024 RESUMEN'!E95)</f>
        <v>0</v>
      </c>
      <c r="I95" s="111">
        <f>SUMIFS('2024 FNDR'!$S$4:$S$404,'2024 FNDR'!$H$4:$H$404,'2024 RESUMEN'!E95)</f>
        <v>422300</v>
      </c>
      <c r="J95" s="111">
        <f>SUMIFS('2024 FNDR'!$T$4:$T$449,'2024 FNDR'!$H$4:$H$449,'2024 RESUMEN'!E95)+SUMIFS('FRIL 2024'!$K$3:$K$37,'FRIL 2024'!$G$3:$G$37,'2024 RESUMEN'!$E79)</f>
        <v>408.71099999999996</v>
      </c>
      <c r="K95" s="111">
        <f>SUMIFS('2024 FNDR'!$U$4:$U$404,'2024 FNDR'!$H$4:$H$404,'2024 RESUMEN'!E95)</f>
        <v>6145.8530000000001</v>
      </c>
      <c r="L95" s="111">
        <f>SUMIFS('2024 FNDR'!$V$4:$V$404,'2024 FNDR'!$H$4:$H$404,'2024 RESUMEN'!E95)</f>
        <v>13617.684999999999</v>
      </c>
      <c r="M95" s="151">
        <f>SUMIFS('2024 FNDR'!$W$4:$W$416,'2024 FNDR'!$H$4:$H$416,'2024 RESUMEN'!E95)+SUMIFS('FRIL 2024'!$M$3:$M$30,'FRIL 2024'!$G$3:$G$30,'2024 RESUMEN'!$E95)</f>
        <v>172058.97200000001</v>
      </c>
      <c r="N95" s="151">
        <f>SUMIFS('2024 FNDR'!$X$4:$X$404,'2024 FNDR'!$H$4:$H$404,'2024 RESUMEN'!E95)+SUMIFS('FRIL 2024'!$O$3:$O$30,'FRIL 2024'!$G$3:$G$30,'2024 RESUMEN'!$E95)</f>
        <v>306171.54629999999</v>
      </c>
      <c r="O95" s="151">
        <f>SUMIFS('2024 FNDR'!$Y$4:$Y$433,'2024 FNDR'!$H$4:$H$433,'2024 RESUMEN'!E95)+SUMIFS('FRIL 2024'!$O$3:$O$32,'FRIL 2024'!$G$3:$G$32,'2024 RESUMEN'!$E95)</f>
        <v>700046.7379999999</v>
      </c>
      <c r="P95" s="151">
        <f>SUMIFS('2024 FNDR'!$Z$4:$Z$404,'2024 FNDR'!$H$4:$H$404,'2024 RESUMEN'!E95)+SUMIFS('FRIL 2024'!$Q$3:$Q$33,'FRIL 2024'!$G$3:$G$33,'2024 RESUMEN'!$E95)</f>
        <v>1980429.9220000003</v>
      </c>
      <c r="Q95" s="151">
        <f>SUMIFS('2024 FNDR'!$AA$4:$AA$466,'2024 FNDR'!$H$4:$H$466,'2024 RESUMEN'!E95)</f>
        <v>867778.92799999996</v>
      </c>
      <c r="R95" s="151">
        <f>SUMIFS('2024 FNDR'!$AB$4:$AB$404,'2024 FNDR'!$H$4:$H$404,'2024 RESUMEN'!E95)</f>
        <v>0</v>
      </c>
      <c r="S95" s="151">
        <f>SUMIFS('2024 FNDR'!$AC$4:$AC$404,'2024 FNDR'!$H$4:$H$404,'2024 RESUMEN'!E95)</f>
        <v>0</v>
      </c>
      <c r="T95" s="111">
        <f>SUMIFS(H95:S95,$H$72:$S$72,"ejecutado")</f>
        <v>4468958.3552999999</v>
      </c>
      <c r="V95" s="109" t="s">
        <v>103</v>
      </c>
      <c r="W95" s="110">
        <f>T95</f>
        <v>4468958.3552999999</v>
      </c>
    </row>
    <row r="96" spans="4:23" ht="24" customHeight="1">
      <c r="D96" s="81"/>
      <c r="E96" s="331" t="s">
        <v>104</v>
      </c>
      <c r="F96" s="5">
        <v>62276878.313999996</v>
      </c>
      <c r="G96" s="89"/>
      <c r="H96" s="88">
        <f>H81+H88+H94+H95</f>
        <v>0</v>
      </c>
      <c r="I96" s="88">
        <f>I81+I88+I94+I95</f>
        <v>861686.02500000002</v>
      </c>
      <c r="J96" s="88">
        <f>J81+J88+J94+J95</f>
        <v>6033205.426</v>
      </c>
      <c r="K96" s="88">
        <f t="shared" ref="K96:Q96" si="37">K81+K88+K94+K95</f>
        <v>3502963.6749999998</v>
      </c>
      <c r="L96" s="88">
        <f>L81+L88+L94+L95</f>
        <v>3302436.8030000008</v>
      </c>
      <c r="M96" s="88">
        <f>M81+M88+M94+M95</f>
        <v>2054275.7450000001</v>
      </c>
      <c r="N96" s="88">
        <f t="shared" si="37"/>
        <v>3058987.9712999999</v>
      </c>
      <c r="O96" s="88">
        <f>O81+O88+O94+O95</f>
        <v>3157186.1189999999</v>
      </c>
      <c r="P96" s="88">
        <f t="shared" si="37"/>
        <v>3517356.4910000004</v>
      </c>
      <c r="Q96" s="88">
        <f t="shared" si="37"/>
        <v>2064676.9759999998</v>
      </c>
      <c r="R96" s="88">
        <f>R81+R88+R94+R95</f>
        <v>0</v>
      </c>
      <c r="S96" s="88">
        <f>S81+S88+S94+S95</f>
        <v>0</v>
      </c>
      <c r="T96" s="88">
        <f>T81+T88+T94+T95</f>
        <v>27552775.231300004</v>
      </c>
      <c r="U96" s="103"/>
      <c r="V96" s="331" t="s">
        <v>104</v>
      </c>
      <c r="W96" s="5">
        <f>W81+W88+W94+W95</f>
        <v>27552775.231300004</v>
      </c>
    </row>
    <row r="97" spans="4:22" ht="18" customHeight="1">
      <c r="D97" s="81"/>
      <c r="E97" s="91"/>
      <c r="H97" s="365" t="s">
        <v>105</v>
      </c>
      <c r="I97" s="365"/>
      <c r="J97" s="365"/>
      <c r="K97" s="365"/>
      <c r="L97" s="365"/>
      <c r="M97" s="365"/>
      <c r="N97" s="365"/>
      <c r="O97" s="365"/>
      <c r="P97" s="365"/>
      <c r="Q97" s="365"/>
    </row>
    <row r="98" spans="4:22" ht="18" hidden="1" customHeight="1">
      <c r="D98" s="81"/>
      <c r="E98" s="91"/>
      <c r="H98" s="103">
        <f t="shared" ref="H98:T98" si="38">H43-H96</f>
        <v>0</v>
      </c>
      <c r="I98" s="103">
        <f t="shared" si="38"/>
        <v>0</v>
      </c>
      <c r="J98" s="103">
        <f t="shared" si="38"/>
        <v>0</v>
      </c>
      <c r="K98" s="103">
        <f t="shared" si="38"/>
        <v>0</v>
      </c>
      <c r="L98" s="103">
        <f t="shared" si="38"/>
        <v>0</v>
      </c>
      <c r="M98" s="103">
        <f t="shared" si="38"/>
        <v>0</v>
      </c>
      <c r="N98" s="103">
        <f t="shared" si="38"/>
        <v>0</v>
      </c>
      <c r="O98" s="103">
        <f t="shared" si="38"/>
        <v>0</v>
      </c>
      <c r="P98" s="103">
        <f t="shared" si="38"/>
        <v>0</v>
      </c>
      <c r="Q98" s="103">
        <f t="shared" si="38"/>
        <v>0</v>
      </c>
      <c r="R98" s="103">
        <f t="shared" si="38"/>
        <v>0</v>
      </c>
      <c r="S98" s="103">
        <f t="shared" si="38"/>
        <v>0</v>
      </c>
      <c r="T98" s="103">
        <f t="shared" si="38"/>
        <v>0</v>
      </c>
      <c r="U98" s="103"/>
      <c r="V98" s="103"/>
    </row>
    <row r="99" spans="4:22" ht="18" customHeight="1">
      <c r="D99" s="81"/>
      <c r="E99" s="91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5"/>
    </row>
    <row r="100" spans="4:22" ht="18" customHeight="1">
      <c r="D100" s="81"/>
      <c r="E100" s="91"/>
      <c r="H100" s="85" t="str">
        <f>H72</f>
        <v>EJECUTADO</v>
      </c>
      <c r="I100" s="85" t="str">
        <f t="shared" ref="I100:T100" si="39">I72</f>
        <v>EJECUTADO</v>
      </c>
      <c r="J100" s="85" t="str">
        <f t="shared" si="39"/>
        <v>EJECUTADO</v>
      </c>
      <c r="K100" s="85" t="str">
        <f t="shared" si="39"/>
        <v>EJECUTADO</v>
      </c>
      <c r="L100" s="85" t="str">
        <f t="shared" si="39"/>
        <v>EJECUTADO</v>
      </c>
      <c r="M100" s="85" t="str">
        <f t="shared" si="39"/>
        <v>EJECUTADO</v>
      </c>
      <c r="N100" s="85" t="str">
        <f t="shared" si="39"/>
        <v>EJECUTADO</v>
      </c>
      <c r="O100" s="85" t="str">
        <f t="shared" si="39"/>
        <v>EJECUTADO</v>
      </c>
      <c r="P100" s="85" t="str">
        <f t="shared" si="39"/>
        <v>EJECUTADO</v>
      </c>
      <c r="Q100" s="85" t="str">
        <f t="shared" si="39"/>
        <v>EJECUTADO</v>
      </c>
      <c r="R100" s="85" t="str">
        <f t="shared" si="39"/>
        <v>EJECUTADO</v>
      </c>
      <c r="S100" s="85" t="str">
        <f t="shared" si="39"/>
        <v>EJECUTADO</v>
      </c>
      <c r="T100" s="85" t="str">
        <f t="shared" si="39"/>
        <v>AÑO</v>
      </c>
    </row>
    <row r="101" spans="4:22" ht="21.75" customHeight="1">
      <c r="D101" s="81"/>
      <c r="E101" s="84" t="s">
        <v>106</v>
      </c>
      <c r="F101" s="112" t="s">
        <v>80</v>
      </c>
      <c r="H101" s="86">
        <f>H73</f>
        <v>45292</v>
      </c>
      <c r="I101" s="86">
        <f t="shared" ref="I101:T101" si="40">I73</f>
        <v>45323</v>
      </c>
      <c r="J101" s="86">
        <f t="shared" si="40"/>
        <v>45352</v>
      </c>
      <c r="K101" s="86">
        <f t="shared" si="40"/>
        <v>45383</v>
      </c>
      <c r="L101" s="86">
        <f t="shared" si="40"/>
        <v>45413</v>
      </c>
      <c r="M101" s="86">
        <f t="shared" si="40"/>
        <v>45444</v>
      </c>
      <c r="N101" s="86">
        <f t="shared" si="40"/>
        <v>45474</v>
      </c>
      <c r="O101" s="86">
        <f t="shared" si="40"/>
        <v>45505</v>
      </c>
      <c r="P101" s="86">
        <f t="shared" si="40"/>
        <v>45536</v>
      </c>
      <c r="Q101" s="86">
        <f t="shared" si="40"/>
        <v>45566</v>
      </c>
      <c r="R101" s="86">
        <f t="shared" si="40"/>
        <v>45597</v>
      </c>
      <c r="S101" s="86">
        <f t="shared" si="40"/>
        <v>45627</v>
      </c>
      <c r="T101" s="113">
        <f t="shared" si="40"/>
        <v>2024</v>
      </c>
    </row>
    <row r="102" spans="4:22" ht="18" customHeight="1">
      <c r="D102" s="81"/>
      <c r="E102" s="94" t="s">
        <v>107</v>
      </c>
      <c r="F102" s="96">
        <f>F81</f>
        <v>11588556.552000001</v>
      </c>
      <c r="G102" s="15"/>
      <c r="H102" s="96">
        <f>H81</f>
        <v>0</v>
      </c>
      <c r="I102" s="96">
        <f t="shared" ref="I102:S102" si="41">I81</f>
        <v>128083.75199999999</v>
      </c>
      <c r="J102" s="96">
        <f t="shared" si="41"/>
        <v>560518.7030000001</v>
      </c>
      <c r="K102" s="96">
        <f>K81</f>
        <v>569494.19099999999</v>
      </c>
      <c r="L102" s="96">
        <f t="shared" si="41"/>
        <v>471255.33799999993</v>
      </c>
      <c r="M102" s="96">
        <f t="shared" si="41"/>
        <v>248903.25400000002</v>
      </c>
      <c r="N102" s="96">
        <f t="shared" si="41"/>
        <v>371921.72000000003</v>
      </c>
      <c r="O102" s="96">
        <f t="shared" si="41"/>
        <v>615574.10899999994</v>
      </c>
      <c r="P102" s="96">
        <f t="shared" si="41"/>
        <v>195033.95699999999</v>
      </c>
      <c r="Q102" s="96">
        <f t="shared" si="41"/>
        <v>491068.51500000001</v>
      </c>
      <c r="R102" s="96">
        <f t="shared" si="41"/>
        <v>0</v>
      </c>
      <c r="S102" s="96">
        <f t="shared" si="41"/>
        <v>0</v>
      </c>
      <c r="T102" s="96">
        <f>T81</f>
        <v>3651853.5389999999</v>
      </c>
    </row>
    <row r="103" spans="4:22" ht="18" customHeight="1">
      <c r="D103" s="81"/>
      <c r="E103" s="97" t="s">
        <v>108</v>
      </c>
      <c r="F103" s="99">
        <f>F88</f>
        <v>24299661.194999997</v>
      </c>
      <c r="G103" s="15"/>
      <c r="H103" s="99">
        <f>H88</f>
        <v>0</v>
      </c>
      <c r="I103" s="99">
        <f t="shared" ref="I103:S103" si="42">I88</f>
        <v>63905.513999999996</v>
      </c>
      <c r="J103" s="99">
        <f t="shared" si="42"/>
        <v>3129430.943</v>
      </c>
      <c r="K103" s="99">
        <f t="shared" si="42"/>
        <v>1166249.149</v>
      </c>
      <c r="L103" s="99">
        <f t="shared" si="42"/>
        <v>1311508.5340000002</v>
      </c>
      <c r="M103" s="99">
        <f t="shared" si="42"/>
        <v>482615.24700000003</v>
      </c>
      <c r="N103" s="99">
        <f t="shared" si="42"/>
        <v>1203845.2239999999</v>
      </c>
      <c r="O103" s="99">
        <f t="shared" si="42"/>
        <v>737414.42599999998</v>
      </c>
      <c r="P103" s="99">
        <f t="shared" si="42"/>
        <v>364685.24699999997</v>
      </c>
      <c r="Q103" s="99">
        <f t="shared" si="42"/>
        <v>87795.51</v>
      </c>
      <c r="R103" s="99">
        <f t="shared" si="42"/>
        <v>0</v>
      </c>
      <c r="S103" s="99">
        <f t="shared" si="42"/>
        <v>0</v>
      </c>
      <c r="T103" s="99">
        <f>T88</f>
        <v>8547449.7939999998</v>
      </c>
    </row>
    <row r="104" spans="4:22" ht="18" customHeight="1">
      <c r="D104" s="81"/>
      <c r="E104" s="100" t="s">
        <v>109</v>
      </c>
      <c r="F104" s="102">
        <f>F94</f>
        <v>17314863.845999997</v>
      </c>
      <c r="G104" s="15"/>
      <c r="H104" s="102">
        <f>H94</f>
        <v>0</v>
      </c>
      <c r="I104" s="102">
        <f t="shared" ref="I104:S104" si="43">I94</f>
        <v>247396.75900000002</v>
      </c>
      <c r="J104" s="102">
        <f t="shared" si="43"/>
        <v>2342847.0689999997</v>
      </c>
      <c r="K104" s="102">
        <f t="shared" si="43"/>
        <v>1761074.4819999998</v>
      </c>
      <c r="L104" s="102">
        <f t="shared" si="43"/>
        <v>1506055.2460000003</v>
      </c>
      <c r="M104" s="88">
        <f t="shared" si="43"/>
        <v>1150698.2720000001</v>
      </c>
      <c r="N104" s="88">
        <f t="shared" si="43"/>
        <v>1177049.4810000001</v>
      </c>
      <c r="O104" s="88">
        <f t="shared" si="43"/>
        <v>1104150.8459999999</v>
      </c>
      <c r="P104" s="88">
        <f t="shared" si="43"/>
        <v>977207.36500000011</v>
      </c>
      <c r="Q104" s="88">
        <f t="shared" si="43"/>
        <v>618034.02300000004</v>
      </c>
      <c r="R104" s="88">
        <f t="shared" si="43"/>
        <v>0</v>
      </c>
      <c r="S104" s="88">
        <f t="shared" si="43"/>
        <v>0</v>
      </c>
      <c r="T104" s="102">
        <f>T94</f>
        <v>10884513.543000001</v>
      </c>
    </row>
    <row r="105" spans="4:22" ht="18" customHeight="1">
      <c r="D105" s="81"/>
      <c r="E105" s="109" t="s">
        <v>103</v>
      </c>
      <c r="F105" s="111">
        <f>F95</f>
        <v>9073796.720999999</v>
      </c>
      <c r="G105" s="15"/>
      <c r="H105" s="111">
        <f>H95</f>
        <v>0</v>
      </c>
      <c r="I105" s="111">
        <f t="shared" ref="I105:S105" si="44">I95</f>
        <v>422300</v>
      </c>
      <c r="J105" s="111">
        <f t="shared" si="44"/>
        <v>408.71099999999996</v>
      </c>
      <c r="K105" s="111">
        <f t="shared" si="44"/>
        <v>6145.8530000000001</v>
      </c>
      <c r="L105" s="111">
        <f t="shared" si="44"/>
        <v>13617.684999999999</v>
      </c>
      <c r="M105" s="111">
        <f>M95</f>
        <v>172058.97200000001</v>
      </c>
      <c r="N105" s="111">
        <f t="shared" si="44"/>
        <v>306171.54629999999</v>
      </c>
      <c r="O105" s="111">
        <f t="shared" si="44"/>
        <v>700046.7379999999</v>
      </c>
      <c r="P105" s="111">
        <f t="shared" si="44"/>
        <v>1980429.9220000003</v>
      </c>
      <c r="Q105" s="111">
        <f t="shared" si="44"/>
        <v>867778.92799999996</v>
      </c>
      <c r="R105" s="111">
        <f t="shared" si="44"/>
        <v>0</v>
      </c>
      <c r="S105" s="111">
        <f t="shared" si="44"/>
        <v>0</v>
      </c>
      <c r="T105" s="111">
        <f>T95</f>
        <v>4468958.3552999999</v>
      </c>
    </row>
    <row r="106" spans="4:22" ht="18" customHeight="1">
      <c r="D106" s="81"/>
      <c r="E106" s="90" t="s">
        <v>110</v>
      </c>
      <c r="F106" s="72">
        <f>SUM(F102:F105)</f>
        <v>62276878.313999996</v>
      </c>
      <c r="G106" s="15"/>
      <c r="H106" s="72">
        <f>SUM(H102:H105)</f>
        <v>0</v>
      </c>
      <c r="I106" s="72">
        <f t="shared" ref="I106:S106" si="45">SUM(I102:I105)</f>
        <v>861686.02500000002</v>
      </c>
      <c r="J106" s="72">
        <f t="shared" si="45"/>
        <v>6033205.426</v>
      </c>
      <c r="K106" s="72">
        <f t="shared" si="45"/>
        <v>3502963.6749999998</v>
      </c>
      <c r="L106" s="72">
        <f t="shared" si="45"/>
        <v>3302436.8030000008</v>
      </c>
      <c r="M106" s="72">
        <f t="shared" si="45"/>
        <v>2054275.7450000001</v>
      </c>
      <c r="N106" s="72">
        <f t="shared" si="45"/>
        <v>3058987.9712999999</v>
      </c>
      <c r="O106" s="72">
        <f t="shared" si="45"/>
        <v>3157186.1189999999</v>
      </c>
      <c r="P106" s="72">
        <f t="shared" si="45"/>
        <v>3517356.4910000004</v>
      </c>
      <c r="Q106" s="72">
        <f t="shared" si="45"/>
        <v>2064676.9759999998</v>
      </c>
      <c r="R106" s="72">
        <f t="shared" si="45"/>
        <v>0</v>
      </c>
      <c r="S106" s="72">
        <f t="shared" si="45"/>
        <v>0</v>
      </c>
      <c r="T106" s="72">
        <f>SUM(T102:T105)</f>
        <v>27552775.231300004</v>
      </c>
    </row>
    <row r="107" spans="4:22" ht="18" customHeight="1">
      <c r="E107" s="4"/>
      <c r="F107" s="3"/>
      <c r="G107" s="3"/>
      <c r="H107" s="365" t="s">
        <v>111</v>
      </c>
      <c r="I107" s="365"/>
      <c r="J107" s="365"/>
      <c r="K107" s="365"/>
      <c r="L107" s="365"/>
      <c r="M107" s="365"/>
      <c r="N107" s="365"/>
      <c r="O107" s="365"/>
      <c r="P107" s="3"/>
      <c r="Q107" s="3"/>
      <c r="R107" s="3"/>
      <c r="S107" s="3"/>
      <c r="T107" s="3"/>
      <c r="U107" s="3"/>
    </row>
    <row r="108" spans="4:22" ht="18" customHeight="1">
      <c r="H108" s="103">
        <f>H106-H96</f>
        <v>0</v>
      </c>
      <c r="I108" s="103">
        <f>I106-I96</f>
        <v>0</v>
      </c>
      <c r="J108" s="103">
        <f t="shared" ref="J108:T108" si="46">J106-J96</f>
        <v>0</v>
      </c>
      <c r="K108" s="103">
        <f t="shared" si="46"/>
        <v>0</v>
      </c>
      <c r="L108" s="103">
        <f t="shared" si="46"/>
        <v>0</v>
      </c>
      <c r="M108" s="103">
        <f t="shared" si="46"/>
        <v>0</v>
      </c>
      <c r="N108" s="103">
        <f t="shared" si="46"/>
        <v>0</v>
      </c>
      <c r="O108" s="103">
        <f t="shared" si="46"/>
        <v>0</v>
      </c>
      <c r="P108" s="103">
        <f t="shared" si="46"/>
        <v>0</v>
      </c>
      <c r="Q108" s="103">
        <f t="shared" si="46"/>
        <v>0</v>
      </c>
      <c r="R108" s="103">
        <f t="shared" si="46"/>
        <v>0</v>
      </c>
      <c r="S108" s="103">
        <f t="shared" si="46"/>
        <v>0</v>
      </c>
      <c r="T108" s="103">
        <f t="shared" si="46"/>
        <v>0</v>
      </c>
      <c r="U108" s="103"/>
      <c r="V108" s="114"/>
    </row>
    <row r="109" spans="4:22">
      <c r="D109" s="73"/>
    </row>
    <row r="110" spans="4:22" ht="35.25" customHeight="1">
      <c r="D110" s="73"/>
      <c r="E110" s="85" t="s">
        <v>112</v>
      </c>
      <c r="F110" s="85" t="s">
        <v>113</v>
      </c>
      <c r="R110" s="84" t="s">
        <v>106</v>
      </c>
      <c r="S110" s="112" t="s">
        <v>81</v>
      </c>
    </row>
    <row r="111" spans="4:22" ht="16.5" customHeight="1">
      <c r="D111" s="116" t="s">
        <v>114</v>
      </c>
      <c r="E111" s="11">
        <v>2008</v>
      </c>
      <c r="F111" s="14">
        <f>SUMIFS('2024 FNDR'!$Q$4:$Q$433,'2024 FNDR'!$J$4:$J$433,'2024 RESUMEN'!E111)</f>
        <v>0</v>
      </c>
      <c r="G111" s="168">
        <f>F111/$F$128</f>
        <v>0</v>
      </c>
      <c r="R111" s="94" t="s">
        <v>107</v>
      </c>
      <c r="S111" s="96">
        <f>T102</f>
        <v>3651853.5389999999</v>
      </c>
    </row>
    <row r="112" spans="4:22" ht="16.5" customHeight="1">
      <c r="D112" s="116" t="s">
        <v>115</v>
      </c>
      <c r="E112" s="11">
        <v>2009</v>
      </c>
      <c r="F112" s="14">
        <f>SUMIFS('2024 FNDR'!$Q$4:$Q$433,'2024 FNDR'!$J$4:$J$433,'2024 RESUMEN'!E112)</f>
        <v>0</v>
      </c>
      <c r="G112" s="168">
        <f t="shared" ref="G112:G128" si="47">F112/$F$128</f>
        <v>0</v>
      </c>
      <c r="R112" s="97" t="s">
        <v>108</v>
      </c>
      <c r="S112" s="99">
        <f>T103</f>
        <v>8547449.7939999998</v>
      </c>
    </row>
    <row r="113" spans="4:19" ht="16.5" customHeight="1">
      <c r="D113" s="116" t="s">
        <v>116</v>
      </c>
      <c r="E113" s="11">
        <v>2010</v>
      </c>
      <c r="F113" s="14">
        <f>SUMIFS('2024 FNDR'!$Q$4:$Q$433,'2024 FNDR'!$J$4:$J$433,'2024 RESUMEN'!E113)</f>
        <v>0</v>
      </c>
      <c r="G113" s="168">
        <f t="shared" si="47"/>
        <v>0</v>
      </c>
      <c r="R113" s="100" t="s">
        <v>109</v>
      </c>
      <c r="S113" s="102">
        <f>T104</f>
        <v>10884513.543000001</v>
      </c>
    </row>
    <row r="114" spans="4:19" ht="16.5" customHeight="1">
      <c r="D114" s="116" t="s">
        <v>117</v>
      </c>
      <c r="E114" s="11">
        <v>2011</v>
      </c>
      <c r="F114" s="14">
        <f>SUMIFS('2024 FNDR'!$Q$4:$Q$433,'2024 FNDR'!$J$4:$J$433,'2024 RESUMEN'!E114)</f>
        <v>2172744.1140000001</v>
      </c>
      <c r="G114" s="168">
        <f t="shared" si="47"/>
        <v>7.8857541418613925E-2</v>
      </c>
      <c r="R114" s="109" t="s">
        <v>103</v>
      </c>
      <c r="S114" s="111">
        <f>T105</f>
        <v>4468958.3552999999</v>
      </c>
    </row>
    <row r="115" spans="4:19" ht="16.5" customHeight="1">
      <c r="D115" s="116" t="s">
        <v>118</v>
      </c>
      <c r="E115" s="11">
        <v>2012</v>
      </c>
      <c r="F115" s="14">
        <f>SUMIFS('2024 FNDR'!$Q$4:$Q$433,'2024 FNDR'!$J$4:$J$433,'2024 RESUMEN'!E115)</f>
        <v>14651.118999999999</v>
      </c>
      <c r="G115" s="168">
        <f t="shared" si="47"/>
        <v>5.317474873948923E-4</v>
      </c>
      <c r="R115" s="90" t="s">
        <v>110</v>
      </c>
      <c r="S115" s="72">
        <f>SUM(S111:S114)</f>
        <v>27552775.231300004</v>
      </c>
    </row>
    <row r="116" spans="4:19" ht="16.5" customHeight="1">
      <c r="D116" s="116" t="s">
        <v>119</v>
      </c>
      <c r="E116" s="11">
        <v>2013</v>
      </c>
      <c r="F116" s="14">
        <f>SUMIFS('2024 FNDR'!$Q$4:$Q$433,'2024 FNDR'!$J$4:$J$433,'2024 RESUMEN'!E116)</f>
        <v>0</v>
      </c>
      <c r="G116" s="168">
        <f t="shared" si="47"/>
        <v>0</v>
      </c>
    </row>
    <row r="117" spans="4:19" ht="16.5" customHeight="1">
      <c r="D117" s="116" t="s">
        <v>120</v>
      </c>
      <c r="E117" s="11">
        <v>2014</v>
      </c>
      <c r="F117" s="14">
        <f>SUMIFS('2024 FNDR'!$Q$4:$Q$433,'2024 FNDR'!$J$4:$J$433,'2024 RESUMEN'!E117)</f>
        <v>106012.49400000001</v>
      </c>
      <c r="G117" s="168">
        <f t="shared" si="47"/>
        <v>3.847615824904985E-3</v>
      </c>
      <c r="R117" s="33"/>
      <c r="S117" s="33"/>
    </row>
    <row r="118" spans="4:19" ht="16.5" customHeight="1">
      <c r="D118" s="116" t="s">
        <v>121</v>
      </c>
      <c r="E118" s="11">
        <v>2015</v>
      </c>
      <c r="F118" s="14">
        <f>SUMIFS('2024 FNDR'!$Q$4:$Q$433,'2024 FNDR'!$J$4:$J$433,'2024 RESUMEN'!E118)</f>
        <v>0</v>
      </c>
      <c r="G118" s="168">
        <f t="shared" si="47"/>
        <v>0</v>
      </c>
      <c r="R118" s="33"/>
      <c r="S118" s="33"/>
    </row>
    <row r="119" spans="4:19" ht="16.5" customHeight="1">
      <c r="D119" s="116" t="s">
        <v>122</v>
      </c>
      <c r="E119" s="11">
        <v>2016</v>
      </c>
      <c r="F119" s="14">
        <f>SUMIFS('2024 FNDR'!$Q$4:$Q$433,'2024 FNDR'!$J$4:$J$433,'2024 RESUMEN'!E119)</f>
        <v>1789475.0619999999</v>
      </c>
      <c r="G119" s="168">
        <f t="shared" si="47"/>
        <v>6.4947180346724309E-2</v>
      </c>
      <c r="R119" s="33"/>
      <c r="S119" s="33"/>
    </row>
    <row r="120" spans="4:19" ht="16.5" customHeight="1">
      <c r="D120" s="116" t="s">
        <v>123</v>
      </c>
      <c r="E120" s="11">
        <v>2017</v>
      </c>
      <c r="F120" s="14">
        <f>SUMIFS('2024 FNDR'!$Q$4:$Q$433,'2024 FNDR'!$J$4:$J$433,'2024 RESUMEN'!E120)</f>
        <v>1586794.12</v>
      </c>
      <c r="G120" s="168">
        <f t="shared" si="47"/>
        <v>5.7591081358563077E-2</v>
      </c>
      <c r="R120" s="33"/>
      <c r="S120" s="33"/>
    </row>
    <row r="121" spans="4:19" ht="16.5" customHeight="1">
      <c r="D121" s="116" t="s">
        <v>124</v>
      </c>
      <c r="E121" s="11">
        <v>2018</v>
      </c>
      <c r="F121" s="14">
        <f>SUMIFS('2024 FNDR'!$Q$4:$Q$433,'2024 FNDR'!$J$4:$J$433,'2024 RESUMEN'!E121)</f>
        <v>2993665.2609999999</v>
      </c>
      <c r="G121" s="168">
        <f t="shared" si="47"/>
        <v>0.10865204088767039</v>
      </c>
    </row>
    <row r="122" spans="4:19" ht="16.5" customHeight="1">
      <c r="D122" s="116" t="s">
        <v>125</v>
      </c>
      <c r="E122" s="11">
        <v>2019</v>
      </c>
      <c r="F122" s="14">
        <f>SUMIFS('2024 FNDR'!$Q$4:$Q$433,'2024 FNDR'!$J$4:$J$433,'2024 RESUMEN'!E122)</f>
        <v>6514879.8530000001</v>
      </c>
      <c r="G122" s="168">
        <f t="shared" si="47"/>
        <v>0.23645094907169587</v>
      </c>
    </row>
    <row r="123" spans="4:19" ht="16.5" customHeight="1">
      <c r="D123" s="176" t="s">
        <v>126</v>
      </c>
      <c r="E123" s="11">
        <v>2020</v>
      </c>
      <c r="F123" s="14">
        <f>SUMIFS('2024 FNDR'!$Q$4:$Q$433,'2024 FNDR'!$J$4:$J$433,'2024 RESUMEN'!E123)</f>
        <v>1333562.8949999998</v>
      </c>
      <c r="G123" s="168">
        <f t="shared" si="47"/>
        <v>4.8400311177549546E-2</v>
      </c>
    </row>
    <row r="124" spans="4:19" ht="16.5" customHeight="1">
      <c r="D124" s="176" t="s">
        <v>127</v>
      </c>
      <c r="E124" s="11">
        <v>2021</v>
      </c>
      <c r="F124" s="14">
        <f>SUMIFS('2024 FNDR'!$Q$4:$Q$433,'2024 FNDR'!$J$4:$J$433,'2024 RESUMEN'!E124)</f>
        <v>6119350.3483000007</v>
      </c>
      <c r="G124" s="168">
        <f t="shared" si="47"/>
        <v>0.2220956073182932</v>
      </c>
    </row>
    <row r="125" spans="4:19" ht="16.5" customHeight="1">
      <c r="D125" s="176" t="s">
        <v>128</v>
      </c>
      <c r="E125" s="11">
        <v>2022</v>
      </c>
      <c r="F125" s="14">
        <f>SUMIFS('2024 FNDR'!$Q$4:$Q$433,'2024 FNDR'!$J$4:$J$433,'2024 RESUMEN'!E125)</f>
        <v>1475805.2050000003</v>
      </c>
      <c r="G125" s="168">
        <f t="shared" si="47"/>
        <v>5.3562851386508709E-2</v>
      </c>
    </row>
    <row r="126" spans="4:19" ht="16.5" customHeight="1">
      <c r="D126" s="116" t="s">
        <v>129</v>
      </c>
      <c r="E126" s="11">
        <v>2023</v>
      </c>
      <c r="F126" s="14">
        <f>SUMIFS('2024 FNDR'!$Q$4:$Q$433,'2024 FNDR'!$J$4:$J$433,'2024 RESUMEN'!E126)</f>
        <v>2558495.98</v>
      </c>
      <c r="G126" s="168">
        <f t="shared" si="47"/>
        <v>9.2858013703590328E-2</v>
      </c>
    </row>
    <row r="127" spans="4:19" ht="16.5" customHeight="1">
      <c r="D127" s="116" t="s">
        <v>130</v>
      </c>
      <c r="E127" s="11">
        <v>2024</v>
      </c>
      <c r="F127" s="14">
        <f>SUMIFS('2024 FNDR'!$Q$4:$Q$433,'2024 FNDR'!$J$4:$J$433,'2024 RESUMEN'!E127)</f>
        <v>887338.78</v>
      </c>
      <c r="G127" s="168">
        <f t="shared" si="47"/>
        <v>3.2205060018490682E-2</v>
      </c>
    </row>
    <row r="128" spans="4:19" ht="16.5" customHeight="1">
      <c r="E128" s="11" t="s">
        <v>110</v>
      </c>
      <c r="F128" s="323">
        <f>SUM(F111:F127)</f>
        <v>27552775.231300004</v>
      </c>
      <c r="G128" s="168">
        <f t="shared" si="47"/>
        <v>1</v>
      </c>
    </row>
    <row r="129" spans="4:8">
      <c r="F129"/>
    </row>
    <row r="130" spans="4:8" ht="12.75" customHeight="1">
      <c r="D130" s="59"/>
      <c r="H130" s="59"/>
    </row>
    <row r="131" spans="4:8" ht="12.75">
      <c r="D131" s="59"/>
      <c r="H131" s="59"/>
    </row>
    <row r="132" spans="4:8" ht="12.75">
      <c r="D132" s="59"/>
      <c r="E132" s="59"/>
      <c r="F132" s="59"/>
      <c r="G132" s="59"/>
      <c r="H132" s="59"/>
    </row>
    <row r="133" spans="4:8" ht="12.75">
      <c r="D133" s="59"/>
      <c r="E133" s="59"/>
      <c r="F133" s="59"/>
      <c r="G133" s="59"/>
      <c r="H133" s="59"/>
    </row>
    <row r="134" spans="4:8" ht="12.75">
      <c r="D134" s="59"/>
      <c r="E134" s="59"/>
      <c r="F134" s="59"/>
      <c r="G134" s="59"/>
      <c r="H134" s="59"/>
    </row>
    <row r="135" spans="4:8" ht="12.75">
      <c r="D135" s="59"/>
      <c r="E135" s="59"/>
      <c r="F135" s="59"/>
      <c r="G135" s="59"/>
      <c r="H135" s="59"/>
    </row>
    <row r="136" spans="4:8" ht="12.75">
      <c r="D136" s="59"/>
      <c r="E136" s="59"/>
      <c r="F136" s="59"/>
      <c r="G136" s="59"/>
      <c r="H136" s="59"/>
    </row>
    <row r="137" spans="4:8" ht="12.75">
      <c r="D137" s="59"/>
      <c r="E137" s="59"/>
      <c r="F137" s="59"/>
      <c r="G137" s="59"/>
      <c r="H137" s="59"/>
    </row>
    <row r="138" spans="4:8" ht="12.75">
      <c r="D138" s="59"/>
      <c r="E138" s="59"/>
      <c r="F138" s="59"/>
      <c r="G138" s="59"/>
      <c r="H138" s="59"/>
    </row>
    <row r="139" spans="4:8" ht="12.75">
      <c r="D139" s="59"/>
      <c r="E139" s="59"/>
      <c r="F139" s="59"/>
      <c r="G139" s="59"/>
      <c r="H139" s="59"/>
    </row>
    <row r="140" spans="4:8" ht="12.75">
      <c r="D140" s="59"/>
      <c r="E140" s="59"/>
      <c r="F140" s="59"/>
      <c r="G140" s="59"/>
      <c r="H140" s="59"/>
    </row>
    <row r="141" spans="4:8" ht="12.75">
      <c r="D141" s="59"/>
      <c r="E141" s="59"/>
      <c r="F141" s="59"/>
      <c r="G141" s="59"/>
      <c r="H141" s="59"/>
    </row>
    <row r="142" spans="4:8" ht="12.75">
      <c r="D142" s="59"/>
      <c r="E142" s="59"/>
      <c r="F142" s="59"/>
      <c r="G142" s="59"/>
      <c r="H142" s="59"/>
    </row>
    <row r="143" spans="4:8" ht="12.75">
      <c r="D143" s="59"/>
      <c r="E143" s="59"/>
      <c r="F143" s="59"/>
      <c r="G143" s="59"/>
      <c r="H143" s="59"/>
    </row>
    <row r="144" spans="4:8" ht="12.75">
      <c r="D144" s="59"/>
      <c r="E144" s="59"/>
      <c r="F144" s="59"/>
      <c r="G144" s="59"/>
      <c r="H144" s="59"/>
    </row>
    <row r="145" spans="4:8" ht="12.75">
      <c r="D145" s="59"/>
      <c r="E145" s="59"/>
      <c r="F145" s="59"/>
      <c r="G145" s="59"/>
      <c r="H145" s="59"/>
    </row>
    <row r="146" spans="4:8">
      <c r="F146"/>
    </row>
    <row r="147" spans="4:8">
      <c r="F147"/>
    </row>
    <row r="148" spans="4:8">
      <c r="F148"/>
    </row>
    <row r="149" spans="4:8">
      <c r="F149"/>
    </row>
    <row r="150" spans="4:8">
      <c r="F150"/>
    </row>
    <row r="151" spans="4:8">
      <c r="F151"/>
    </row>
    <row r="152" spans="4:8">
      <c r="F152"/>
    </row>
    <row r="153" spans="4:8">
      <c r="F153"/>
    </row>
    <row r="154" spans="4:8">
      <c r="F154"/>
    </row>
    <row r="155" spans="4:8">
      <c r="F155"/>
    </row>
    <row r="156" spans="4:8">
      <c r="F156"/>
    </row>
    <row r="157" spans="4:8">
      <c r="F157"/>
    </row>
    <row r="158" spans="4:8">
      <c r="F158"/>
    </row>
    <row r="159" spans="4:8">
      <c r="F159"/>
    </row>
    <row r="160" spans="4:8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</sheetData>
  <sheetProtection algorithmName="SHA-512" hashValue="vrgfYzCufA82dd8B55/bidSpmWyqfSKrHWpQUMd9NPAyGsFNnWgDF+jnMXeomSJGNYNQlF3MqrZiLOquuQGpXQ==" saltValue="NAOYGQTkL1AJCcTWY+wmPw==" spinCount="100000" sheet="1" objects="1" scenarios="1" selectLockedCells="1" selectUnlockedCells="1"/>
  <mergeCells count="7">
    <mergeCell ref="B1:F1"/>
    <mergeCell ref="B2:F2"/>
    <mergeCell ref="F68:G68"/>
    <mergeCell ref="G69:L69"/>
    <mergeCell ref="H107:O107"/>
    <mergeCell ref="F65:G65"/>
    <mergeCell ref="H97:Q97"/>
  </mergeCells>
  <conditionalFormatting sqref="H98:T98 H108:T108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306"/>
  <sheetViews>
    <sheetView zoomScaleNormal="100" zoomScaleSheetLayoutView="90" workbookViewId="0">
      <pane ySplit="4" topLeftCell="A5" activePane="bottomLeft" state="frozen"/>
      <selection pane="bottomLeft" activeCell="M290" sqref="M290"/>
    </sheetView>
  </sheetViews>
  <sheetFormatPr baseColWidth="10" defaultColWidth="11.42578125" defaultRowHeight="12"/>
  <cols>
    <col min="1" max="1" width="11.28515625" style="1" customWidth="1"/>
    <col min="2" max="2" width="5.28515625" style="6" customWidth="1"/>
    <col min="3" max="3" width="5.5703125" style="252" customWidth="1"/>
    <col min="4" max="4" width="7.5703125" style="1" hidden="1" customWidth="1"/>
    <col min="5" max="5" width="7.28515625" style="252" hidden="1" customWidth="1"/>
    <col min="6" max="6" width="15" style="7" customWidth="1"/>
    <col min="7" max="7" width="31.7109375" style="2" customWidth="1"/>
    <col min="8" max="8" width="14.28515625" style="7" customWidth="1"/>
    <col min="9" max="9" width="18.140625" style="2" hidden="1" customWidth="1"/>
    <col min="10" max="11" width="10" style="6" customWidth="1"/>
    <col min="12" max="12" width="11.5703125" style="162" customWidth="1"/>
    <col min="13" max="13" width="18.28515625" style="2" customWidth="1"/>
    <col min="14" max="14" width="19" style="6" customWidth="1"/>
    <col min="15" max="15" width="16.42578125" style="2" customWidth="1"/>
    <col min="16" max="16" width="15.140625" style="144" customWidth="1"/>
    <col min="17" max="17" width="14.85546875" style="2" customWidth="1"/>
    <col min="18" max="18" width="12.85546875" style="2" customWidth="1"/>
    <col min="19" max="19" width="13.140625" style="2" customWidth="1"/>
    <col min="20" max="20" width="13.28515625" style="2" customWidth="1"/>
    <col min="21" max="21" width="14.140625" style="182" customWidth="1"/>
    <col min="22" max="22" width="13.85546875" style="2" customWidth="1"/>
    <col min="23" max="23" width="14.7109375" style="2" customWidth="1"/>
    <col min="24" max="24" width="15" style="2" customWidth="1"/>
    <col min="25" max="25" width="14.5703125" style="2" customWidth="1"/>
    <col min="26" max="26" width="13.85546875" style="2" customWidth="1"/>
    <col min="27" max="27" width="15.140625" style="194" customWidth="1"/>
    <col min="28" max="28" width="14" style="2" customWidth="1"/>
    <col min="29" max="29" width="15.42578125" style="167" customWidth="1"/>
    <col min="30" max="36" width="11.42578125" style="2" bestFit="1" customWidth="1"/>
    <col min="37" max="16384" width="11.42578125" style="2"/>
  </cols>
  <sheetData>
    <row r="1" spans="1:29" s="20" customFormat="1">
      <c r="A1" s="278" t="s">
        <v>131</v>
      </c>
      <c r="B1" s="200"/>
      <c r="C1" s="277"/>
      <c r="D1" s="276"/>
      <c r="E1" s="276"/>
      <c r="F1" s="200"/>
      <c r="G1" s="200"/>
      <c r="H1" s="351"/>
      <c r="I1" s="256"/>
      <c r="J1" s="257"/>
      <c r="K1" s="257"/>
      <c r="L1" s="257"/>
      <c r="M1" s="257"/>
      <c r="N1" s="258"/>
      <c r="O1" s="258"/>
      <c r="P1" s="259"/>
      <c r="Q1" s="18"/>
      <c r="R1" s="19"/>
      <c r="S1" s="18"/>
      <c r="T1" s="19"/>
      <c r="U1" s="178"/>
      <c r="V1" s="18"/>
      <c r="W1" s="18"/>
      <c r="X1" s="19"/>
      <c r="AA1" s="192"/>
      <c r="AC1" s="166"/>
    </row>
    <row r="2" spans="1:29" ht="51">
      <c r="A2" s="320" t="s">
        <v>132</v>
      </c>
      <c r="B2" s="200"/>
      <c r="C2" s="277"/>
      <c r="D2" s="276"/>
      <c r="E2" s="276"/>
      <c r="F2" s="200"/>
      <c r="G2" s="200"/>
      <c r="H2" s="276"/>
      <c r="L2" s="6"/>
      <c r="M2" s="6"/>
      <c r="O2" s="160" t="s">
        <v>133</v>
      </c>
      <c r="P2" s="161" t="str">
        <f>P4</f>
        <v>ASIGNADO M$ 2024</v>
      </c>
      <c r="Q2" s="161" t="s">
        <v>134</v>
      </c>
      <c r="R2" s="133" t="s">
        <v>2</v>
      </c>
      <c r="S2" s="122" t="s">
        <v>2</v>
      </c>
      <c r="T2" s="122" t="s">
        <v>2</v>
      </c>
      <c r="U2" s="179" t="s">
        <v>2</v>
      </c>
      <c r="V2" s="122" t="s">
        <v>2</v>
      </c>
      <c r="W2" s="122" t="s">
        <v>2</v>
      </c>
      <c r="X2" s="122" t="s">
        <v>2</v>
      </c>
      <c r="Y2" s="122" t="s">
        <v>2</v>
      </c>
      <c r="Z2" s="122" t="s">
        <v>2</v>
      </c>
      <c r="AA2" s="193" t="s">
        <v>2</v>
      </c>
      <c r="AB2" s="122" t="s">
        <v>2</v>
      </c>
      <c r="AC2" s="122" t="s">
        <v>2</v>
      </c>
    </row>
    <row r="3" spans="1:29" ht="15">
      <c r="D3" s="126"/>
      <c r="G3" s="2" t="s">
        <v>135</v>
      </c>
      <c r="L3" s="6"/>
      <c r="O3" s="315">
        <f>SUBTOTAL(9,O4:O433)</f>
        <v>87042474</v>
      </c>
      <c r="P3" s="315">
        <f>SUBTOTAL(9,P4:P433)</f>
        <v>45912496.273000002</v>
      </c>
      <c r="Q3" s="315">
        <f>SUBTOTAL(9,Q4:Q433)</f>
        <v>36923337.485299997</v>
      </c>
      <c r="R3" s="318">
        <f t="shared" ref="R3:AC3" si="0">SUBTOTAL(9,R5:R455)</f>
        <v>9370562.2540000007</v>
      </c>
      <c r="S3" s="318">
        <f t="shared" si="0"/>
        <v>861686.02500000002</v>
      </c>
      <c r="T3" s="318">
        <f t="shared" si="0"/>
        <v>6033205.426</v>
      </c>
      <c r="U3" s="318">
        <f t="shared" si="0"/>
        <v>3502963.6749999998</v>
      </c>
      <c r="V3" s="318">
        <f t="shared" si="0"/>
        <v>3302436.8030000003</v>
      </c>
      <c r="W3" s="318">
        <f t="shared" si="0"/>
        <v>2054275.7449999999</v>
      </c>
      <c r="X3" s="318">
        <f t="shared" si="0"/>
        <v>3058987.9712999994</v>
      </c>
      <c r="Y3" s="318">
        <f t="shared" si="0"/>
        <v>3157186.1189999999</v>
      </c>
      <c r="Z3" s="318">
        <f t="shared" si="0"/>
        <v>3517356.4909999999</v>
      </c>
      <c r="AA3" s="318">
        <f t="shared" si="0"/>
        <v>2064676.9759999996</v>
      </c>
      <c r="AB3" s="318">
        <f t="shared" si="0"/>
        <v>0</v>
      </c>
      <c r="AC3" s="318">
        <f t="shared" si="0"/>
        <v>0</v>
      </c>
    </row>
    <row r="4" spans="1:29" ht="51">
      <c r="A4" s="121" t="s">
        <v>136</v>
      </c>
      <c r="B4" s="121" t="s">
        <v>137</v>
      </c>
      <c r="C4" s="121" t="s">
        <v>4</v>
      </c>
      <c r="D4" s="319" t="s">
        <v>138</v>
      </c>
      <c r="E4" s="335" t="s">
        <v>139</v>
      </c>
      <c r="F4" s="121" t="s">
        <v>140</v>
      </c>
      <c r="G4" s="121" t="s">
        <v>141</v>
      </c>
      <c r="H4" s="319" t="s">
        <v>79</v>
      </c>
      <c r="I4" s="121" t="s">
        <v>142</v>
      </c>
      <c r="J4" s="121" t="s">
        <v>112</v>
      </c>
      <c r="K4" s="121" t="s">
        <v>143</v>
      </c>
      <c r="L4" s="336" t="s">
        <v>144</v>
      </c>
      <c r="M4" s="121" t="s">
        <v>145</v>
      </c>
      <c r="N4" s="121" t="s">
        <v>146</v>
      </c>
      <c r="O4" s="337" t="s">
        <v>133</v>
      </c>
      <c r="P4" s="161" t="s">
        <v>147</v>
      </c>
      <c r="Q4" s="161" t="s">
        <v>134</v>
      </c>
      <c r="R4" s="342" t="s">
        <v>148</v>
      </c>
      <c r="S4" s="342" t="s">
        <v>149</v>
      </c>
      <c r="T4" s="342" t="s">
        <v>150</v>
      </c>
      <c r="U4" s="342" t="s">
        <v>151</v>
      </c>
      <c r="V4" s="342" t="s">
        <v>152</v>
      </c>
      <c r="W4" s="342" t="s">
        <v>153</v>
      </c>
      <c r="X4" s="316" t="s">
        <v>154</v>
      </c>
      <c r="Y4" s="316" t="s">
        <v>155</v>
      </c>
      <c r="Z4" s="316" t="s">
        <v>156</v>
      </c>
      <c r="AA4" s="316" t="s">
        <v>157</v>
      </c>
      <c r="AB4" s="316" t="s">
        <v>158</v>
      </c>
      <c r="AC4" s="316" t="s">
        <v>159</v>
      </c>
    </row>
    <row r="5" spans="1:29" ht="36">
      <c r="A5" s="317">
        <v>30124513</v>
      </c>
      <c r="B5" s="185">
        <v>31</v>
      </c>
      <c r="C5" s="267" t="s">
        <v>29</v>
      </c>
      <c r="D5" s="185" t="s">
        <v>160</v>
      </c>
      <c r="E5" s="138">
        <v>0</v>
      </c>
      <c r="F5" s="139" t="s">
        <v>161</v>
      </c>
      <c r="G5" s="295" t="s">
        <v>162</v>
      </c>
      <c r="H5" s="118" t="s">
        <v>82</v>
      </c>
      <c r="I5" s="272" t="s">
        <v>163</v>
      </c>
      <c r="J5" s="117">
        <v>2018</v>
      </c>
      <c r="K5" s="117">
        <v>9061</v>
      </c>
      <c r="L5" s="164">
        <v>6359514.6809999999</v>
      </c>
      <c r="M5" s="118" t="s">
        <v>269</v>
      </c>
      <c r="N5" s="121" t="s">
        <v>161</v>
      </c>
      <c r="O5" s="170">
        <v>2</v>
      </c>
      <c r="P5" s="134">
        <v>270754</v>
      </c>
      <c r="Q5" s="134">
        <f t="shared" ref="Q5" si="1">SUM(R5:AC5)</f>
        <v>0</v>
      </c>
      <c r="R5" s="152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ht="24">
      <c r="A6" s="288">
        <v>30064663</v>
      </c>
      <c r="B6" s="123">
        <v>31</v>
      </c>
      <c r="C6" s="119" t="s">
        <v>29</v>
      </c>
      <c r="D6" s="123" t="s">
        <v>160</v>
      </c>
      <c r="E6" s="117">
        <v>0</v>
      </c>
      <c r="F6" s="118" t="s">
        <v>161</v>
      </c>
      <c r="G6" s="124" t="s">
        <v>164</v>
      </c>
      <c r="H6" s="118" t="s">
        <v>91</v>
      </c>
      <c r="I6" s="272" t="s">
        <v>163</v>
      </c>
      <c r="J6" s="117">
        <v>2021</v>
      </c>
      <c r="K6" s="117">
        <v>11216</v>
      </c>
      <c r="L6" s="164">
        <v>8679051.432</v>
      </c>
      <c r="M6" s="118" t="s">
        <v>165</v>
      </c>
      <c r="N6" s="121" t="s">
        <v>161</v>
      </c>
      <c r="O6" s="170">
        <v>1647092</v>
      </c>
      <c r="P6" s="134">
        <v>2457942</v>
      </c>
      <c r="Q6" s="134">
        <f t="shared" ref="Q6:Q24" si="2">SUM(R6:AC6)</f>
        <v>2342393.2659999998</v>
      </c>
      <c r="R6" s="152"/>
      <c r="S6" s="134"/>
      <c r="T6" s="134">
        <v>410465.70500000002</v>
      </c>
      <c r="U6" s="134">
        <v>730157.89399999997</v>
      </c>
      <c r="V6" s="134">
        <v>406681.32500000001</v>
      </c>
      <c r="W6" s="134">
        <v>325484.46299999999</v>
      </c>
      <c r="X6" s="134">
        <v>424437.93400000001</v>
      </c>
      <c r="Y6" s="134">
        <v>10505.941999999999</v>
      </c>
      <c r="Z6" s="134">
        <v>34660.002999999997</v>
      </c>
      <c r="AA6" s="134"/>
      <c r="AB6" s="134"/>
      <c r="AC6" s="134"/>
    </row>
    <row r="7" spans="1:29" ht="36">
      <c r="A7" s="288">
        <v>30124440</v>
      </c>
      <c r="B7" s="123">
        <v>31</v>
      </c>
      <c r="C7" s="119" t="s">
        <v>29</v>
      </c>
      <c r="D7" s="123" t="s">
        <v>160</v>
      </c>
      <c r="E7" s="117">
        <v>0</v>
      </c>
      <c r="F7" s="118" t="s">
        <v>166</v>
      </c>
      <c r="G7" s="124" t="s">
        <v>167</v>
      </c>
      <c r="H7" s="118" t="s">
        <v>82</v>
      </c>
      <c r="I7" s="272" t="s">
        <v>168</v>
      </c>
      <c r="J7" s="117">
        <v>2018</v>
      </c>
      <c r="K7" s="117">
        <v>9636</v>
      </c>
      <c r="L7" s="164">
        <v>81196</v>
      </c>
      <c r="M7" s="118" t="s">
        <v>169</v>
      </c>
      <c r="N7" s="121" t="s">
        <v>161</v>
      </c>
      <c r="O7" s="170">
        <v>76000</v>
      </c>
      <c r="P7" s="134">
        <v>38000</v>
      </c>
      <c r="Q7" s="134">
        <f t="shared" si="2"/>
        <v>30300</v>
      </c>
      <c r="R7" s="152"/>
      <c r="S7" s="134"/>
      <c r="T7" s="134"/>
      <c r="U7" s="183"/>
      <c r="V7" s="134"/>
      <c r="W7" s="134"/>
      <c r="X7" s="134">
        <v>30300</v>
      </c>
      <c r="Y7" s="134"/>
      <c r="Z7" s="134"/>
      <c r="AA7" s="134"/>
      <c r="AB7" s="134"/>
      <c r="AC7" s="134"/>
    </row>
    <row r="8" spans="1:29" ht="36">
      <c r="A8" s="288">
        <v>30109140</v>
      </c>
      <c r="B8" s="123">
        <v>31</v>
      </c>
      <c r="C8" s="119" t="s">
        <v>29</v>
      </c>
      <c r="D8" s="123" t="s">
        <v>160</v>
      </c>
      <c r="E8" s="117">
        <v>0</v>
      </c>
      <c r="F8" s="118" t="s">
        <v>161</v>
      </c>
      <c r="G8" s="124" t="s">
        <v>170</v>
      </c>
      <c r="H8" s="118" t="s">
        <v>83</v>
      </c>
      <c r="I8" s="272" t="s">
        <v>171</v>
      </c>
      <c r="J8" s="117">
        <v>2016</v>
      </c>
      <c r="K8" s="117">
        <v>8156</v>
      </c>
      <c r="L8" s="164">
        <v>4515399.1059999997</v>
      </c>
      <c r="M8" s="118" t="s">
        <v>269</v>
      </c>
      <c r="N8" s="121" t="s">
        <v>161</v>
      </c>
      <c r="O8" s="170">
        <v>1</v>
      </c>
      <c r="P8" s="134">
        <v>113871</v>
      </c>
      <c r="Q8" s="134">
        <f t="shared" si="2"/>
        <v>0</v>
      </c>
      <c r="R8" s="152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</row>
    <row r="9" spans="1:29" ht="24">
      <c r="A9" s="288">
        <v>40006784</v>
      </c>
      <c r="B9" s="123">
        <v>31</v>
      </c>
      <c r="C9" s="119" t="s">
        <v>29</v>
      </c>
      <c r="D9" s="123" t="s">
        <v>160</v>
      </c>
      <c r="E9" s="117">
        <v>0</v>
      </c>
      <c r="F9" s="118" t="s">
        <v>161</v>
      </c>
      <c r="G9" s="124" t="s">
        <v>172</v>
      </c>
      <c r="H9" s="118" t="s">
        <v>83</v>
      </c>
      <c r="I9" s="272" t="s">
        <v>173</v>
      </c>
      <c r="J9" s="117">
        <v>2019</v>
      </c>
      <c r="K9" s="117">
        <v>10023</v>
      </c>
      <c r="L9" s="164">
        <v>94345</v>
      </c>
      <c r="M9" s="118" t="s">
        <v>174</v>
      </c>
      <c r="N9" s="121" t="s">
        <v>161</v>
      </c>
      <c r="O9" s="170">
        <v>2230</v>
      </c>
      <c r="P9" s="134">
        <v>80400</v>
      </c>
      <c r="Q9" s="134">
        <f t="shared" si="2"/>
        <v>46846.953999999998</v>
      </c>
      <c r="R9" s="152"/>
      <c r="S9" s="134"/>
      <c r="T9" s="134">
        <v>46846.953999999998</v>
      </c>
      <c r="U9" s="134"/>
      <c r="V9" s="134"/>
      <c r="W9" s="134"/>
      <c r="X9" s="134"/>
      <c r="Y9" s="134"/>
      <c r="Z9" s="134"/>
      <c r="AA9" s="134"/>
      <c r="AB9" s="134"/>
      <c r="AC9" s="134"/>
    </row>
    <row r="10" spans="1:29" ht="24">
      <c r="A10" s="288">
        <v>40006217</v>
      </c>
      <c r="B10" s="123">
        <v>31</v>
      </c>
      <c r="C10" s="119" t="s">
        <v>29</v>
      </c>
      <c r="D10" s="123" t="s">
        <v>160</v>
      </c>
      <c r="E10" s="117">
        <v>0</v>
      </c>
      <c r="F10" s="118" t="s">
        <v>161</v>
      </c>
      <c r="G10" s="124" t="s">
        <v>175</v>
      </c>
      <c r="H10" s="118" t="s">
        <v>98</v>
      </c>
      <c r="I10" s="272" t="s">
        <v>176</v>
      </c>
      <c r="J10" s="117">
        <v>2019</v>
      </c>
      <c r="K10" s="117">
        <v>10023</v>
      </c>
      <c r="L10" s="164">
        <v>477540.72</v>
      </c>
      <c r="M10" s="118" t="s">
        <v>177</v>
      </c>
      <c r="N10" s="121" t="s">
        <v>178</v>
      </c>
      <c r="O10" s="170">
        <v>50000</v>
      </c>
      <c r="P10" s="134">
        <v>121288</v>
      </c>
      <c r="Q10" s="134">
        <f t="shared" si="2"/>
        <v>0</v>
      </c>
      <c r="R10" s="152"/>
      <c r="S10" s="134"/>
      <c r="T10" s="134"/>
      <c r="U10" s="134"/>
      <c r="V10" s="134"/>
      <c r="W10" s="174"/>
      <c r="X10" s="134"/>
      <c r="Y10" s="134"/>
      <c r="Z10" s="174"/>
      <c r="AA10" s="134"/>
      <c r="AB10" s="134"/>
      <c r="AC10" s="134"/>
    </row>
    <row r="11" spans="1:29" ht="36">
      <c r="A11" s="288">
        <v>30477535</v>
      </c>
      <c r="B11" s="123">
        <v>31</v>
      </c>
      <c r="C11" s="119" t="s">
        <v>29</v>
      </c>
      <c r="D11" s="123" t="s">
        <v>160</v>
      </c>
      <c r="E11" s="117">
        <v>0</v>
      </c>
      <c r="F11" s="118" t="s">
        <v>161</v>
      </c>
      <c r="G11" s="124" t="s">
        <v>179</v>
      </c>
      <c r="H11" s="118" t="s">
        <v>84</v>
      </c>
      <c r="I11" s="272" t="s">
        <v>180</v>
      </c>
      <c r="J11" s="117">
        <v>2018</v>
      </c>
      <c r="K11" s="117">
        <v>9193</v>
      </c>
      <c r="L11" s="164">
        <v>821709</v>
      </c>
      <c r="M11" s="118" t="s">
        <v>269</v>
      </c>
      <c r="N11" s="121" t="s">
        <v>181</v>
      </c>
      <c r="O11" s="170">
        <v>1</v>
      </c>
      <c r="P11" s="134">
        <v>2000</v>
      </c>
      <c r="Q11" s="134">
        <f t="shared" si="2"/>
        <v>0</v>
      </c>
      <c r="R11" s="152"/>
      <c r="S11" s="134"/>
      <c r="T11" s="134"/>
      <c r="U11" s="183"/>
      <c r="V11" s="134"/>
      <c r="W11" s="134"/>
      <c r="X11" s="134"/>
      <c r="Y11" s="134"/>
      <c r="Z11" s="174"/>
      <c r="AA11" s="134"/>
      <c r="AB11" s="134"/>
      <c r="AC11" s="134"/>
    </row>
    <row r="12" spans="1:29" ht="24">
      <c r="A12" s="288">
        <v>30484182</v>
      </c>
      <c r="B12" s="123">
        <v>31</v>
      </c>
      <c r="C12" s="119" t="s">
        <v>29</v>
      </c>
      <c r="D12" s="123" t="s">
        <v>160</v>
      </c>
      <c r="E12" s="117">
        <v>0</v>
      </c>
      <c r="F12" s="118" t="s">
        <v>161</v>
      </c>
      <c r="G12" s="124" t="s">
        <v>182</v>
      </c>
      <c r="H12" s="118" t="s">
        <v>91</v>
      </c>
      <c r="I12" s="272" t="s">
        <v>176</v>
      </c>
      <c r="J12" s="117">
        <v>2017</v>
      </c>
      <c r="K12" s="117" t="s">
        <v>183</v>
      </c>
      <c r="L12" s="164">
        <v>496583</v>
      </c>
      <c r="M12" s="124" t="s">
        <v>184</v>
      </c>
      <c r="N12" s="121" t="s">
        <v>161</v>
      </c>
      <c r="O12" s="170">
        <v>1</v>
      </c>
      <c r="P12" s="134">
        <v>15285</v>
      </c>
      <c r="Q12" s="134">
        <f t="shared" si="2"/>
        <v>0</v>
      </c>
      <c r="R12" s="152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1:29" ht="36">
      <c r="A13" s="288">
        <v>30447522</v>
      </c>
      <c r="B13" s="117">
        <v>31</v>
      </c>
      <c r="C13" s="119" t="s">
        <v>29</v>
      </c>
      <c r="D13" s="123" t="s">
        <v>160</v>
      </c>
      <c r="E13" s="117">
        <v>0</v>
      </c>
      <c r="F13" s="118" t="s">
        <v>161</v>
      </c>
      <c r="G13" s="124" t="s">
        <v>186</v>
      </c>
      <c r="H13" s="118" t="s">
        <v>92</v>
      </c>
      <c r="I13" s="272" t="s">
        <v>168</v>
      </c>
      <c r="J13" s="117">
        <v>2017</v>
      </c>
      <c r="K13" s="117">
        <v>8952</v>
      </c>
      <c r="L13" s="172">
        <v>2658834</v>
      </c>
      <c r="M13" s="124" t="s">
        <v>187</v>
      </c>
      <c r="N13" s="121" t="s">
        <v>161</v>
      </c>
      <c r="O13" s="170">
        <v>1</v>
      </c>
      <c r="P13" s="134">
        <v>418154</v>
      </c>
      <c r="Q13" s="134">
        <f t="shared" si="2"/>
        <v>369301.93400000001</v>
      </c>
      <c r="R13" s="152"/>
      <c r="S13" s="134"/>
      <c r="T13" s="134">
        <v>332642.35200000001</v>
      </c>
      <c r="U13" s="134"/>
      <c r="V13" s="195"/>
      <c r="W13" s="134">
        <v>36659.582000000002</v>
      </c>
      <c r="X13" s="134"/>
      <c r="Y13" s="134"/>
      <c r="Z13" s="134"/>
      <c r="AA13" s="134"/>
      <c r="AB13" s="134"/>
      <c r="AC13" s="134"/>
    </row>
    <row r="14" spans="1:29" ht="48">
      <c r="A14" s="288">
        <v>40012802</v>
      </c>
      <c r="B14" s="123">
        <v>31</v>
      </c>
      <c r="C14" s="119" t="s">
        <v>29</v>
      </c>
      <c r="D14" s="123" t="s">
        <v>160</v>
      </c>
      <c r="E14" s="117">
        <v>0</v>
      </c>
      <c r="F14" s="118" t="s">
        <v>161</v>
      </c>
      <c r="G14" s="124" t="s">
        <v>188</v>
      </c>
      <c r="H14" s="118" t="s">
        <v>93</v>
      </c>
      <c r="I14" s="272" t="s">
        <v>189</v>
      </c>
      <c r="J14" s="117">
        <v>2019</v>
      </c>
      <c r="K14" s="117">
        <v>10023</v>
      </c>
      <c r="L14" s="164">
        <v>1376070.8</v>
      </c>
      <c r="M14" s="124" t="s">
        <v>190</v>
      </c>
      <c r="N14" s="121" t="s">
        <v>161</v>
      </c>
      <c r="O14" s="170">
        <v>1</v>
      </c>
      <c r="P14" s="134">
        <v>42639</v>
      </c>
      <c r="Q14" s="134">
        <f t="shared" si="2"/>
        <v>0</v>
      </c>
      <c r="R14" s="152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1:29" ht="36">
      <c r="A15" s="288">
        <v>30077750</v>
      </c>
      <c r="B15" s="123">
        <v>31</v>
      </c>
      <c r="C15" s="119" t="s">
        <v>29</v>
      </c>
      <c r="D15" s="123" t="s">
        <v>160</v>
      </c>
      <c r="E15" s="117">
        <v>0</v>
      </c>
      <c r="F15" s="118" t="s">
        <v>161</v>
      </c>
      <c r="G15" s="124" t="s">
        <v>191</v>
      </c>
      <c r="H15" s="118" t="s">
        <v>90</v>
      </c>
      <c r="I15" s="272" t="s">
        <v>163</v>
      </c>
      <c r="J15" s="117">
        <v>2014</v>
      </c>
      <c r="K15" s="117">
        <v>6456</v>
      </c>
      <c r="L15" s="164">
        <v>693728</v>
      </c>
      <c r="M15" s="118" t="s">
        <v>269</v>
      </c>
      <c r="N15" s="121" t="s">
        <v>192</v>
      </c>
      <c r="O15" s="170">
        <v>1</v>
      </c>
      <c r="P15" s="134">
        <v>2000</v>
      </c>
      <c r="Q15" s="134">
        <f t="shared" si="2"/>
        <v>0</v>
      </c>
      <c r="R15" s="152"/>
      <c r="S15" s="134"/>
      <c r="T15" s="134"/>
      <c r="U15" s="183"/>
      <c r="V15" s="134"/>
      <c r="W15" s="134"/>
      <c r="X15" s="134"/>
      <c r="Y15" s="134"/>
      <c r="Z15" s="174"/>
      <c r="AA15" s="134"/>
      <c r="AB15" s="134"/>
      <c r="AC15" s="134"/>
    </row>
    <row r="16" spans="1:29" ht="36">
      <c r="A16" s="288">
        <v>30078529</v>
      </c>
      <c r="B16" s="123">
        <v>31</v>
      </c>
      <c r="C16" s="119" t="s">
        <v>29</v>
      </c>
      <c r="D16" s="123" t="s">
        <v>160</v>
      </c>
      <c r="E16" s="117">
        <v>0</v>
      </c>
      <c r="F16" s="118" t="s">
        <v>161</v>
      </c>
      <c r="G16" s="124" t="s">
        <v>193</v>
      </c>
      <c r="H16" s="118" t="s">
        <v>98</v>
      </c>
      <c r="I16" s="272" t="s">
        <v>189</v>
      </c>
      <c r="J16" s="117">
        <v>2012</v>
      </c>
      <c r="K16" s="117">
        <v>5393</v>
      </c>
      <c r="L16" s="164">
        <v>2550802</v>
      </c>
      <c r="M16" s="118" t="s">
        <v>177</v>
      </c>
      <c r="N16" s="121" t="s">
        <v>161</v>
      </c>
      <c r="O16" s="170">
        <v>1</v>
      </c>
      <c r="P16" s="134"/>
      <c r="Q16" s="134">
        <f t="shared" si="2"/>
        <v>0</v>
      </c>
      <c r="R16" s="152"/>
      <c r="S16" s="134"/>
      <c r="T16" s="134"/>
      <c r="U16" s="134"/>
      <c r="V16" s="134"/>
      <c r="W16" s="134"/>
      <c r="X16" s="134"/>
      <c r="Y16" s="134"/>
      <c r="Z16" s="174"/>
      <c r="AA16" s="134"/>
      <c r="AB16" s="134"/>
      <c r="AC16" s="134"/>
    </row>
    <row r="17" spans="1:29" ht="36">
      <c r="A17" s="288">
        <v>30484225</v>
      </c>
      <c r="B17" s="123">
        <v>31</v>
      </c>
      <c r="C17" s="119" t="s">
        <v>29</v>
      </c>
      <c r="D17" s="123" t="s">
        <v>160</v>
      </c>
      <c r="E17" s="117">
        <v>0</v>
      </c>
      <c r="F17" s="118" t="s">
        <v>161</v>
      </c>
      <c r="G17" s="124" t="s">
        <v>194</v>
      </c>
      <c r="H17" s="118" t="s">
        <v>90</v>
      </c>
      <c r="I17" s="272" t="s">
        <v>163</v>
      </c>
      <c r="J17" s="117">
        <v>2022</v>
      </c>
      <c r="K17" s="117">
        <v>11932</v>
      </c>
      <c r="L17" s="164">
        <v>806623</v>
      </c>
      <c r="M17" s="118" t="s">
        <v>195</v>
      </c>
      <c r="N17" s="121" t="s">
        <v>181</v>
      </c>
      <c r="O17" s="170">
        <v>521929</v>
      </c>
      <c r="P17" s="134"/>
      <c r="Q17" s="134">
        <f t="shared" si="2"/>
        <v>0</v>
      </c>
      <c r="R17" s="152"/>
      <c r="S17" s="134"/>
      <c r="T17" s="134"/>
      <c r="U17" s="181"/>
      <c r="V17" s="134"/>
      <c r="W17" s="134"/>
      <c r="X17" s="134"/>
      <c r="Y17" s="134"/>
      <c r="Z17" s="174"/>
      <c r="AA17" s="134"/>
      <c r="AB17" s="134"/>
      <c r="AC17" s="134"/>
    </row>
    <row r="18" spans="1:29" ht="36">
      <c r="A18" s="288">
        <v>40018359</v>
      </c>
      <c r="B18" s="123">
        <v>31</v>
      </c>
      <c r="C18" s="119" t="s">
        <v>29</v>
      </c>
      <c r="D18" s="123" t="s">
        <v>160</v>
      </c>
      <c r="E18" s="117">
        <v>0</v>
      </c>
      <c r="F18" s="118" t="s">
        <v>161</v>
      </c>
      <c r="G18" s="124" t="s">
        <v>196</v>
      </c>
      <c r="H18" s="118" t="s">
        <v>84</v>
      </c>
      <c r="I18" s="272" t="s">
        <v>163</v>
      </c>
      <c r="J18" s="117">
        <v>2021</v>
      </c>
      <c r="K18" s="117">
        <v>11216</v>
      </c>
      <c r="L18" s="164">
        <v>1197431</v>
      </c>
      <c r="M18" s="118" t="s">
        <v>184</v>
      </c>
      <c r="N18" s="121" t="s">
        <v>197</v>
      </c>
      <c r="O18" s="134">
        <v>255453</v>
      </c>
      <c r="P18" s="134">
        <v>255453</v>
      </c>
      <c r="Q18" s="134">
        <f t="shared" si="2"/>
        <v>0</v>
      </c>
      <c r="R18" s="152"/>
      <c r="S18" s="134"/>
      <c r="T18" s="134"/>
      <c r="U18" s="134"/>
      <c r="V18" s="134"/>
      <c r="W18" s="134"/>
      <c r="X18" s="134"/>
      <c r="Y18" s="134"/>
      <c r="Z18" s="174"/>
      <c r="AA18" s="134"/>
      <c r="AB18" s="134"/>
      <c r="AC18" s="134"/>
    </row>
    <row r="19" spans="1:29" ht="24">
      <c r="A19" s="288">
        <v>40013615</v>
      </c>
      <c r="B19" s="123">
        <v>31</v>
      </c>
      <c r="C19" s="119" t="s">
        <v>29</v>
      </c>
      <c r="D19" s="123" t="s">
        <v>160</v>
      </c>
      <c r="E19" s="117">
        <v>0</v>
      </c>
      <c r="F19" s="118" t="s">
        <v>161</v>
      </c>
      <c r="G19" s="124" t="s">
        <v>198</v>
      </c>
      <c r="H19" s="118" t="s">
        <v>87</v>
      </c>
      <c r="I19" s="272" t="s">
        <v>173</v>
      </c>
      <c r="J19" s="117">
        <v>2021</v>
      </c>
      <c r="K19" s="117">
        <v>11619</v>
      </c>
      <c r="L19" s="164">
        <v>1736512</v>
      </c>
      <c r="M19" s="118" t="s">
        <v>199</v>
      </c>
      <c r="N19" s="121" t="s">
        <v>192</v>
      </c>
      <c r="O19" s="170">
        <v>113000</v>
      </c>
      <c r="P19" s="134"/>
      <c r="Q19" s="134">
        <f t="shared" si="2"/>
        <v>0</v>
      </c>
      <c r="R19" s="152"/>
      <c r="S19" s="134"/>
      <c r="T19" s="134"/>
      <c r="U19" s="181"/>
      <c r="V19" s="134"/>
      <c r="W19" s="134"/>
      <c r="X19" s="134"/>
      <c r="Y19" s="134"/>
      <c r="Z19" s="174"/>
      <c r="AA19" s="134"/>
      <c r="AB19" s="134"/>
      <c r="AC19" s="134"/>
    </row>
    <row r="20" spans="1:29" ht="48">
      <c r="A20" s="288">
        <v>40013536</v>
      </c>
      <c r="B20" s="123">
        <v>31</v>
      </c>
      <c r="C20" s="119" t="s">
        <v>29</v>
      </c>
      <c r="D20" s="123" t="s">
        <v>160</v>
      </c>
      <c r="E20" s="117">
        <v>0</v>
      </c>
      <c r="F20" s="118" t="s">
        <v>161</v>
      </c>
      <c r="G20" s="124" t="s">
        <v>200</v>
      </c>
      <c r="H20" s="118" t="s">
        <v>83</v>
      </c>
      <c r="I20" s="272" t="s">
        <v>163</v>
      </c>
      <c r="J20" s="117">
        <v>2019</v>
      </c>
      <c r="K20" s="117">
        <v>10343</v>
      </c>
      <c r="L20" s="164">
        <v>1794604</v>
      </c>
      <c r="M20" s="118" t="s">
        <v>269</v>
      </c>
      <c r="N20" s="121" t="s">
        <v>161</v>
      </c>
      <c r="O20" s="170">
        <v>76000</v>
      </c>
      <c r="P20" s="134">
        <v>629130</v>
      </c>
      <c r="Q20" s="134">
        <f t="shared" si="2"/>
        <v>81701.983999999997</v>
      </c>
      <c r="R20" s="152"/>
      <c r="S20" s="134"/>
      <c r="T20" s="134"/>
      <c r="U20" s="134">
        <v>81701.983999999997</v>
      </c>
      <c r="V20" s="134"/>
      <c r="W20" s="134"/>
      <c r="X20" s="134"/>
      <c r="Y20" s="134"/>
      <c r="Z20" s="134"/>
      <c r="AA20" s="134"/>
      <c r="AB20" s="134"/>
      <c r="AC20" s="134"/>
    </row>
    <row r="21" spans="1:29" ht="36">
      <c r="A21" s="288">
        <v>40011210</v>
      </c>
      <c r="B21" s="123">
        <v>31</v>
      </c>
      <c r="C21" s="119" t="s">
        <v>29</v>
      </c>
      <c r="D21" s="123" t="s">
        <v>160</v>
      </c>
      <c r="E21" s="117">
        <v>0</v>
      </c>
      <c r="F21" s="118" t="s">
        <v>161</v>
      </c>
      <c r="G21" s="124" t="s">
        <v>201</v>
      </c>
      <c r="H21" s="118" t="s">
        <v>84</v>
      </c>
      <c r="I21" s="272" t="s">
        <v>163</v>
      </c>
      <c r="J21" s="117">
        <v>2021</v>
      </c>
      <c r="K21" s="117">
        <v>11216</v>
      </c>
      <c r="L21" s="164">
        <v>480699</v>
      </c>
      <c r="M21" s="118" t="s">
        <v>184</v>
      </c>
      <c r="N21" s="121" t="s">
        <v>1054</v>
      </c>
      <c r="O21" s="170">
        <v>699662</v>
      </c>
      <c r="P21" s="134">
        <v>161949</v>
      </c>
      <c r="Q21" s="134">
        <f t="shared" si="2"/>
        <v>0</v>
      </c>
      <c r="R21" s="152"/>
      <c r="S21" s="134"/>
      <c r="T21" s="134"/>
      <c r="U21" s="181"/>
      <c r="V21" s="134"/>
      <c r="W21" s="134"/>
      <c r="X21" s="134"/>
      <c r="Y21" s="134"/>
      <c r="Z21" s="174"/>
      <c r="AA21" s="134"/>
      <c r="AB21" s="134"/>
      <c r="AC21" s="134"/>
    </row>
    <row r="22" spans="1:29" ht="36">
      <c r="A22" s="288">
        <v>30131807</v>
      </c>
      <c r="B22" s="123">
        <v>31</v>
      </c>
      <c r="C22" s="119" t="s">
        <v>29</v>
      </c>
      <c r="D22" s="123" t="s">
        <v>160</v>
      </c>
      <c r="E22" s="117">
        <v>0</v>
      </c>
      <c r="F22" s="118" t="s">
        <v>166</v>
      </c>
      <c r="G22" s="124" t="s">
        <v>202</v>
      </c>
      <c r="H22" s="118" t="s">
        <v>83</v>
      </c>
      <c r="I22" s="272" t="s">
        <v>163</v>
      </c>
      <c r="J22" s="117">
        <v>2013</v>
      </c>
      <c r="K22" s="117">
        <v>6273</v>
      </c>
      <c r="L22" s="164">
        <v>4989981.466</v>
      </c>
      <c r="M22" s="118" t="s">
        <v>174</v>
      </c>
      <c r="N22" s="121" t="s">
        <v>203</v>
      </c>
      <c r="O22" s="170"/>
      <c r="P22" s="134"/>
      <c r="Q22" s="134">
        <f t="shared" si="2"/>
        <v>0</v>
      </c>
      <c r="R22" s="152"/>
      <c r="S22" s="134"/>
      <c r="T22" s="134"/>
      <c r="U22" s="181"/>
      <c r="V22" s="134"/>
      <c r="W22" s="134"/>
      <c r="X22" s="134"/>
      <c r="Y22" s="134"/>
      <c r="Z22" s="174"/>
      <c r="AA22" s="134"/>
      <c r="AB22" s="134"/>
      <c r="AC22" s="134"/>
    </row>
    <row r="23" spans="1:29" ht="24">
      <c r="A23" s="288">
        <v>20169586</v>
      </c>
      <c r="B23" s="123">
        <v>31</v>
      </c>
      <c r="C23" s="119" t="s">
        <v>29</v>
      </c>
      <c r="D23" s="123" t="s">
        <v>160</v>
      </c>
      <c r="E23" s="117">
        <v>0</v>
      </c>
      <c r="F23" s="118" t="s">
        <v>161</v>
      </c>
      <c r="G23" s="124" t="s">
        <v>204</v>
      </c>
      <c r="H23" s="118" t="s">
        <v>84</v>
      </c>
      <c r="I23" s="272" t="s">
        <v>163</v>
      </c>
      <c r="J23" s="117">
        <v>2011</v>
      </c>
      <c r="K23" s="117">
        <v>4872</v>
      </c>
      <c r="L23" s="164">
        <v>22508074.537999999</v>
      </c>
      <c r="M23" s="118" t="s">
        <v>184</v>
      </c>
      <c r="N23" s="121" t="s">
        <v>161</v>
      </c>
      <c r="O23" s="170">
        <v>1</v>
      </c>
      <c r="P23" s="134">
        <v>16018</v>
      </c>
      <c r="Q23" s="134">
        <f t="shared" si="2"/>
        <v>11407.563</v>
      </c>
      <c r="R23" s="152"/>
      <c r="S23" s="134"/>
      <c r="T23" s="134"/>
      <c r="U23" s="170">
        <v>11407.563</v>
      </c>
      <c r="V23" s="134"/>
      <c r="W23" s="134"/>
      <c r="X23" s="134"/>
      <c r="Y23" s="134"/>
      <c r="Z23" s="174"/>
      <c r="AA23" s="134"/>
      <c r="AB23" s="134"/>
      <c r="AC23" s="134"/>
    </row>
    <row r="24" spans="1:29" ht="36">
      <c r="A24" s="288">
        <v>30073178</v>
      </c>
      <c r="B24" s="123">
        <v>31</v>
      </c>
      <c r="C24" s="119" t="s">
        <v>29</v>
      </c>
      <c r="D24" s="123" t="s">
        <v>160</v>
      </c>
      <c r="E24" s="117">
        <v>0</v>
      </c>
      <c r="F24" s="118" t="s">
        <v>161</v>
      </c>
      <c r="G24" s="124" t="s">
        <v>205</v>
      </c>
      <c r="H24" s="118" t="s">
        <v>98</v>
      </c>
      <c r="I24" s="272" t="s">
        <v>163</v>
      </c>
      <c r="J24" s="117">
        <v>2011</v>
      </c>
      <c r="K24" s="117">
        <v>4968</v>
      </c>
      <c r="L24" s="164">
        <v>6959399</v>
      </c>
      <c r="M24" s="118" t="s">
        <v>177</v>
      </c>
      <c r="N24" s="121" t="s">
        <v>238</v>
      </c>
      <c r="O24" s="170">
        <v>252004</v>
      </c>
      <c r="P24" s="134">
        <v>511719</v>
      </c>
      <c r="Q24" s="134">
        <f t="shared" si="2"/>
        <v>381248.97000000003</v>
      </c>
      <c r="R24" s="152"/>
      <c r="S24" s="134"/>
      <c r="T24" s="134"/>
      <c r="U24" s="134">
        <v>344418.848</v>
      </c>
      <c r="V24" s="134">
        <v>16583.418000000001</v>
      </c>
      <c r="W24" s="134"/>
      <c r="X24" s="134"/>
      <c r="Y24" s="134">
        <v>20246.704000000002</v>
      </c>
      <c r="Z24" s="134"/>
      <c r="AA24" s="134"/>
      <c r="AB24" s="134"/>
      <c r="AC24" s="134"/>
    </row>
    <row r="25" spans="1:29" ht="24">
      <c r="A25" s="288">
        <v>20169732</v>
      </c>
      <c r="B25" s="123">
        <v>31</v>
      </c>
      <c r="C25" s="119" t="s">
        <v>29</v>
      </c>
      <c r="D25" s="123" t="s">
        <v>160</v>
      </c>
      <c r="E25" s="117">
        <v>0</v>
      </c>
      <c r="F25" s="118" t="s">
        <v>161</v>
      </c>
      <c r="G25" s="124" t="s">
        <v>206</v>
      </c>
      <c r="H25" s="118" t="s">
        <v>97</v>
      </c>
      <c r="I25" s="272" t="s">
        <v>207</v>
      </c>
      <c r="J25" s="117">
        <v>2019</v>
      </c>
      <c r="K25" s="117">
        <v>10497</v>
      </c>
      <c r="L25" s="164">
        <v>110700.09</v>
      </c>
      <c r="M25" s="118" t="s">
        <v>208</v>
      </c>
      <c r="N25" s="121" t="s">
        <v>161</v>
      </c>
      <c r="O25" s="170"/>
      <c r="P25" s="134"/>
      <c r="Q25" s="134">
        <f t="shared" ref="Q25:Q52" si="3">SUM(R25:AC25)</f>
        <v>0</v>
      </c>
      <c r="R25" s="152"/>
      <c r="S25" s="134"/>
      <c r="T25" s="134"/>
      <c r="U25" s="183"/>
      <c r="V25" s="134"/>
      <c r="W25" s="134"/>
      <c r="X25" s="134"/>
      <c r="Y25" s="134"/>
      <c r="Z25" s="174"/>
      <c r="AA25" s="134"/>
      <c r="AB25" s="134"/>
      <c r="AC25" s="134"/>
    </row>
    <row r="26" spans="1:29" ht="24">
      <c r="A26" s="288">
        <v>30086926</v>
      </c>
      <c r="B26" s="123">
        <v>31</v>
      </c>
      <c r="C26" s="119" t="s">
        <v>29</v>
      </c>
      <c r="D26" s="123" t="s">
        <v>160</v>
      </c>
      <c r="E26" s="117">
        <v>0</v>
      </c>
      <c r="F26" s="118" t="s">
        <v>161</v>
      </c>
      <c r="G26" s="124" t="s">
        <v>209</v>
      </c>
      <c r="H26" s="118" t="s">
        <v>97</v>
      </c>
      <c r="I26" s="272" t="s">
        <v>180</v>
      </c>
      <c r="J26" s="117">
        <v>2011</v>
      </c>
      <c r="K26" s="117">
        <v>4872</v>
      </c>
      <c r="L26" s="164">
        <v>4496649</v>
      </c>
      <c r="M26" s="118" t="s">
        <v>210</v>
      </c>
      <c r="N26" s="121" t="s">
        <v>161</v>
      </c>
      <c r="O26" s="170">
        <v>300000</v>
      </c>
      <c r="P26" s="134">
        <v>352296</v>
      </c>
      <c r="Q26" s="134">
        <f t="shared" si="3"/>
        <v>468901.55600000004</v>
      </c>
      <c r="R26" s="152"/>
      <c r="S26" s="134"/>
      <c r="T26" s="134"/>
      <c r="U26" s="170">
        <v>189131.861</v>
      </c>
      <c r="V26" s="134">
        <v>27675.082999999999</v>
      </c>
      <c r="W26" s="134"/>
      <c r="X26" s="134"/>
      <c r="Y26" s="134"/>
      <c r="Z26" s="134">
        <v>145028.39300000001</v>
      </c>
      <c r="AA26" s="134">
        <v>107066.219</v>
      </c>
      <c r="AB26" s="134"/>
      <c r="AC26" s="134"/>
    </row>
    <row r="27" spans="1:29" ht="48">
      <c r="A27" s="288">
        <v>30045318</v>
      </c>
      <c r="B27" s="123">
        <v>31</v>
      </c>
      <c r="C27" s="119" t="s">
        <v>29</v>
      </c>
      <c r="D27" s="123" t="s">
        <v>160</v>
      </c>
      <c r="E27" s="117">
        <v>0</v>
      </c>
      <c r="F27" s="118" t="s">
        <v>161</v>
      </c>
      <c r="G27" s="124" t="s">
        <v>211</v>
      </c>
      <c r="H27" s="118" t="s">
        <v>91</v>
      </c>
      <c r="I27" s="272" t="s">
        <v>173</v>
      </c>
      <c r="J27" s="117">
        <v>2011</v>
      </c>
      <c r="K27" s="117" t="s">
        <v>212</v>
      </c>
      <c r="L27" s="164">
        <v>4722732</v>
      </c>
      <c r="M27" s="118" t="s">
        <v>213</v>
      </c>
      <c r="N27" s="121" t="s">
        <v>161</v>
      </c>
      <c r="O27" s="170"/>
      <c r="P27" s="134"/>
      <c r="Q27" s="134">
        <f t="shared" si="3"/>
        <v>0</v>
      </c>
      <c r="R27" s="152"/>
      <c r="S27" s="134"/>
      <c r="T27" s="134"/>
      <c r="U27" s="134"/>
      <c r="V27" s="134"/>
      <c r="W27" s="134"/>
      <c r="X27" s="134"/>
      <c r="Y27" s="134"/>
      <c r="Z27" s="174"/>
      <c r="AA27" s="134"/>
      <c r="AB27" s="134"/>
      <c r="AC27" s="134"/>
    </row>
    <row r="28" spans="1:29" ht="36">
      <c r="A28" s="288">
        <v>30486418</v>
      </c>
      <c r="B28" s="123">
        <v>31</v>
      </c>
      <c r="C28" s="119" t="s">
        <v>29</v>
      </c>
      <c r="D28" s="123" t="s">
        <v>160</v>
      </c>
      <c r="E28" s="117">
        <v>0</v>
      </c>
      <c r="F28" s="118" t="s">
        <v>161</v>
      </c>
      <c r="G28" s="124" t="s">
        <v>214</v>
      </c>
      <c r="H28" s="118" t="s">
        <v>84</v>
      </c>
      <c r="I28" s="272" t="s">
        <v>173</v>
      </c>
      <c r="J28" s="117">
        <v>2017</v>
      </c>
      <c r="K28" s="117">
        <v>9012</v>
      </c>
      <c r="L28" s="164">
        <v>7430421</v>
      </c>
      <c r="M28" s="118" t="s">
        <v>269</v>
      </c>
      <c r="N28" s="121" t="s">
        <v>161</v>
      </c>
      <c r="O28" s="170">
        <v>1</v>
      </c>
      <c r="P28" s="134"/>
      <c r="Q28" s="134">
        <f t="shared" si="3"/>
        <v>0</v>
      </c>
      <c r="R28" s="152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</row>
    <row r="29" spans="1:29" ht="36">
      <c r="A29" s="288">
        <v>30073116</v>
      </c>
      <c r="B29" s="123">
        <v>31</v>
      </c>
      <c r="C29" s="119" t="s">
        <v>29</v>
      </c>
      <c r="D29" s="123" t="s">
        <v>160</v>
      </c>
      <c r="E29" s="117">
        <v>0</v>
      </c>
      <c r="F29" s="118" t="s">
        <v>161</v>
      </c>
      <c r="G29" s="124" t="s">
        <v>215</v>
      </c>
      <c r="H29" s="118" t="s">
        <v>84</v>
      </c>
      <c r="I29" s="272" t="s">
        <v>189</v>
      </c>
      <c r="J29" s="117">
        <v>2010</v>
      </c>
      <c r="K29" s="117">
        <v>4481</v>
      </c>
      <c r="L29" s="164">
        <v>222958.64500000002</v>
      </c>
      <c r="M29" s="118" t="s">
        <v>184</v>
      </c>
      <c r="N29" s="121" t="s">
        <v>203</v>
      </c>
      <c r="O29" s="170"/>
      <c r="P29" s="134"/>
      <c r="Q29" s="134">
        <f t="shared" si="3"/>
        <v>0</v>
      </c>
      <c r="R29" s="152"/>
      <c r="S29" s="134"/>
      <c r="T29" s="134"/>
      <c r="U29" s="183"/>
      <c r="V29" s="134"/>
      <c r="W29" s="134"/>
      <c r="X29" s="134"/>
      <c r="Y29" s="134"/>
      <c r="Z29" s="134"/>
      <c r="AA29" s="134"/>
      <c r="AB29" s="134"/>
      <c r="AC29" s="134"/>
    </row>
    <row r="30" spans="1:29" ht="24">
      <c r="A30" s="288">
        <v>30065234</v>
      </c>
      <c r="B30" s="123">
        <v>31</v>
      </c>
      <c r="C30" s="119" t="s">
        <v>29</v>
      </c>
      <c r="D30" s="123" t="s">
        <v>160</v>
      </c>
      <c r="E30" s="117">
        <v>0</v>
      </c>
      <c r="F30" s="118" t="s">
        <v>161</v>
      </c>
      <c r="G30" s="124" t="s">
        <v>216</v>
      </c>
      <c r="H30" s="118" t="s">
        <v>84</v>
      </c>
      <c r="I30" s="272" t="s">
        <v>217</v>
      </c>
      <c r="J30" s="117">
        <v>2011</v>
      </c>
      <c r="K30" s="117">
        <v>4872</v>
      </c>
      <c r="L30" s="164">
        <v>3819118</v>
      </c>
      <c r="M30" s="118" t="s">
        <v>184</v>
      </c>
      <c r="N30" s="121" t="s">
        <v>185</v>
      </c>
      <c r="O30" s="170"/>
      <c r="P30" s="134"/>
      <c r="Q30" s="134">
        <f t="shared" si="3"/>
        <v>0</v>
      </c>
      <c r="R30" s="152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</row>
    <row r="31" spans="1:29" ht="48">
      <c r="A31" s="288">
        <v>40000654</v>
      </c>
      <c r="B31" s="123">
        <v>31</v>
      </c>
      <c r="C31" s="119" t="s">
        <v>29</v>
      </c>
      <c r="D31" s="123" t="s">
        <v>160</v>
      </c>
      <c r="E31" s="117">
        <v>0</v>
      </c>
      <c r="F31" s="118" t="s">
        <v>166</v>
      </c>
      <c r="G31" s="124" t="s">
        <v>218</v>
      </c>
      <c r="H31" s="118" t="s">
        <v>83</v>
      </c>
      <c r="I31" s="272" t="s">
        <v>219</v>
      </c>
      <c r="J31" s="117">
        <v>2022</v>
      </c>
      <c r="K31" s="117">
        <v>11932</v>
      </c>
      <c r="L31" s="164">
        <v>304408.47600000002</v>
      </c>
      <c r="M31" s="173" t="s">
        <v>174</v>
      </c>
      <c r="N31" s="121" t="s">
        <v>161</v>
      </c>
      <c r="O31" s="170">
        <v>190924</v>
      </c>
      <c r="P31" s="134">
        <v>168000</v>
      </c>
      <c r="Q31" s="134">
        <f t="shared" si="3"/>
        <v>58740</v>
      </c>
      <c r="R31" s="152"/>
      <c r="S31" s="134"/>
      <c r="T31" s="134"/>
      <c r="U31" s="181">
        <v>58740</v>
      </c>
      <c r="V31" s="134"/>
      <c r="W31" s="134"/>
      <c r="X31" s="134"/>
      <c r="Y31" s="134"/>
      <c r="Z31" s="174"/>
      <c r="AA31" s="134"/>
      <c r="AB31" s="134"/>
      <c r="AC31" s="134"/>
    </row>
    <row r="32" spans="1:29" ht="36">
      <c r="A32" s="288">
        <v>30484186</v>
      </c>
      <c r="B32" s="123">
        <v>31</v>
      </c>
      <c r="C32" s="286" t="s">
        <v>29</v>
      </c>
      <c r="D32" s="123" t="s">
        <v>160</v>
      </c>
      <c r="E32" s="117">
        <v>0</v>
      </c>
      <c r="F32" s="118" t="s">
        <v>220</v>
      </c>
      <c r="G32" s="124" t="s">
        <v>221</v>
      </c>
      <c r="H32" s="118" t="s">
        <v>92</v>
      </c>
      <c r="I32" s="272" t="s">
        <v>219</v>
      </c>
      <c r="J32" s="117">
        <v>2020</v>
      </c>
      <c r="K32" s="117">
        <v>10766</v>
      </c>
      <c r="L32" s="164">
        <v>76526</v>
      </c>
      <c r="M32" s="118" t="s">
        <v>187</v>
      </c>
      <c r="N32" s="121" t="s">
        <v>203</v>
      </c>
      <c r="O32" s="170">
        <v>24720</v>
      </c>
      <c r="P32" s="134">
        <v>27000</v>
      </c>
      <c r="Q32" s="134">
        <f t="shared" si="3"/>
        <v>0</v>
      </c>
      <c r="R32" s="152"/>
      <c r="S32" s="134"/>
      <c r="T32" s="134"/>
      <c r="U32" s="134"/>
      <c r="V32" s="134"/>
      <c r="W32" s="174"/>
      <c r="X32" s="134"/>
      <c r="Y32" s="134"/>
      <c r="Z32" s="174"/>
      <c r="AA32" s="134"/>
      <c r="AB32" s="134"/>
      <c r="AC32" s="134"/>
    </row>
    <row r="33" spans="1:29" ht="48">
      <c r="A33" s="288">
        <v>30484185</v>
      </c>
      <c r="B33" s="123">
        <v>31</v>
      </c>
      <c r="C33" s="119" t="s">
        <v>29</v>
      </c>
      <c r="D33" s="123" t="s">
        <v>160</v>
      </c>
      <c r="E33" s="117">
        <v>0</v>
      </c>
      <c r="F33" s="118" t="s">
        <v>220</v>
      </c>
      <c r="G33" s="124" t="s">
        <v>222</v>
      </c>
      <c r="H33" s="118" t="s">
        <v>92</v>
      </c>
      <c r="I33" s="272" t="s">
        <v>223</v>
      </c>
      <c r="J33" s="117">
        <v>2018</v>
      </c>
      <c r="K33" s="117" t="s">
        <v>224</v>
      </c>
      <c r="L33" s="164">
        <v>68624</v>
      </c>
      <c r="M33" s="118" t="s">
        <v>187</v>
      </c>
      <c r="N33" s="121" t="s">
        <v>203</v>
      </c>
      <c r="O33" s="170"/>
      <c r="P33" s="134">
        <v>9804</v>
      </c>
      <c r="Q33" s="134">
        <f t="shared" si="3"/>
        <v>0</v>
      </c>
      <c r="R33" s="152"/>
      <c r="S33" s="134"/>
      <c r="T33" s="134"/>
      <c r="U33" s="183"/>
      <c r="V33" s="134"/>
      <c r="W33" s="134"/>
      <c r="X33" s="134"/>
      <c r="Y33" s="134"/>
      <c r="Z33" s="174"/>
      <c r="AA33" s="134"/>
      <c r="AB33" s="134"/>
      <c r="AC33" s="134"/>
    </row>
    <row r="34" spans="1:29" ht="36">
      <c r="A34" s="288">
        <v>30432172</v>
      </c>
      <c r="B34" s="123">
        <v>31</v>
      </c>
      <c r="C34" s="119" t="s">
        <v>29</v>
      </c>
      <c r="D34" s="123" t="s">
        <v>160</v>
      </c>
      <c r="E34" s="117">
        <v>0</v>
      </c>
      <c r="F34" s="118" t="s">
        <v>161</v>
      </c>
      <c r="G34" s="124" t="s">
        <v>225</v>
      </c>
      <c r="H34" s="118" t="s">
        <v>83</v>
      </c>
      <c r="I34" s="272" t="s">
        <v>168</v>
      </c>
      <c r="J34" s="117">
        <v>2019</v>
      </c>
      <c r="K34" s="117">
        <v>10023</v>
      </c>
      <c r="L34" s="164">
        <v>3968161</v>
      </c>
      <c r="M34" s="118" t="s">
        <v>174</v>
      </c>
      <c r="N34" s="121" t="s">
        <v>226</v>
      </c>
      <c r="O34" s="170">
        <v>600000</v>
      </c>
      <c r="P34" s="134">
        <v>327656</v>
      </c>
      <c r="Q34" s="134">
        <f t="shared" si="3"/>
        <v>0</v>
      </c>
      <c r="R34" s="152"/>
      <c r="S34" s="134"/>
      <c r="T34" s="134"/>
      <c r="U34" s="134"/>
      <c r="V34" s="134"/>
      <c r="W34" s="174"/>
      <c r="X34" s="134"/>
      <c r="Y34" s="134"/>
      <c r="Z34" s="174"/>
      <c r="AA34" s="134"/>
      <c r="AB34" s="134"/>
      <c r="AC34" s="134"/>
    </row>
    <row r="35" spans="1:29" ht="36">
      <c r="A35" s="288">
        <v>30134340</v>
      </c>
      <c r="B35" s="123">
        <v>31</v>
      </c>
      <c r="C35" s="119" t="s">
        <v>29</v>
      </c>
      <c r="D35" s="123" t="s">
        <v>160</v>
      </c>
      <c r="E35" s="117">
        <v>0</v>
      </c>
      <c r="F35" s="118" t="s">
        <v>161</v>
      </c>
      <c r="G35" s="124" t="s">
        <v>227</v>
      </c>
      <c r="H35" s="118" t="s">
        <v>98</v>
      </c>
      <c r="I35" s="272" t="s">
        <v>168</v>
      </c>
      <c r="J35" s="117">
        <v>2018</v>
      </c>
      <c r="K35" s="117">
        <v>9636</v>
      </c>
      <c r="L35" s="164">
        <v>815401.31299999997</v>
      </c>
      <c r="M35" s="118" t="s">
        <v>177</v>
      </c>
      <c r="N35" s="121" t="s">
        <v>203</v>
      </c>
      <c r="O35" s="170">
        <v>1</v>
      </c>
      <c r="P35" s="134">
        <v>51000</v>
      </c>
      <c r="Q35" s="134">
        <f t="shared" si="3"/>
        <v>0</v>
      </c>
      <c r="R35" s="152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</row>
    <row r="36" spans="1:29" ht="24">
      <c r="A36" s="288">
        <v>40007893</v>
      </c>
      <c r="B36" s="123">
        <v>31</v>
      </c>
      <c r="C36" s="119" t="s">
        <v>29</v>
      </c>
      <c r="D36" s="123" t="s">
        <v>160</v>
      </c>
      <c r="E36" s="117">
        <v>0</v>
      </c>
      <c r="F36" s="118" t="s">
        <v>166</v>
      </c>
      <c r="G36" s="124" t="s">
        <v>228</v>
      </c>
      <c r="H36" s="118" t="s">
        <v>86</v>
      </c>
      <c r="I36" s="272" t="s">
        <v>163</v>
      </c>
      <c r="J36" s="117">
        <v>2022</v>
      </c>
      <c r="K36" s="117">
        <v>11932</v>
      </c>
      <c r="L36" s="164">
        <v>96237</v>
      </c>
      <c r="M36" s="118" t="s">
        <v>229</v>
      </c>
      <c r="N36" s="121" t="s">
        <v>161</v>
      </c>
      <c r="O36" s="170">
        <v>91582</v>
      </c>
      <c r="P36" s="134">
        <v>45000</v>
      </c>
      <c r="Q36" s="134">
        <f t="shared" si="3"/>
        <v>14123.55</v>
      </c>
      <c r="R36" s="152"/>
      <c r="S36" s="134"/>
      <c r="T36" s="134"/>
      <c r="U36" s="181"/>
      <c r="V36" s="134"/>
      <c r="W36" s="134"/>
      <c r="X36" s="134"/>
      <c r="Y36" s="134">
        <v>14123.55</v>
      </c>
      <c r="Z36" s="174"/>
      <c r="AA36" s="134"/>
      <c r="AB36" s="134"/>
      <c r="AC36" s="134"/>
    </row>
    <row r="37" spans="1:29" ht="36">
      <c r="A37" s="288">
        <v>30131804</v>
      </c>
      <c r="B37" s="123">
        <v>31</v>
      </c>
      <c r="C37" s="119" t="s">
        <v>29</v>
      </c>
      <c r="D37" s="123" t="s">
        <v>160</v>
      </c>
      <c r="E37" s="117">
        <v>0</v>
      </c>
      <c r="F37" s="125" t="s">
        <v>161</v>
      </c>
      <c r="G37" s="124" t="s">
        <v>230</v>
      </c>
      <c r="H37" s="118" t="s">
        <v>83</v>
      </c>
      <c r="I37" s="272" t="s">
        <v>168</v>
      </c>
      <c r="J37" s="117">
        <v>2017</v>
      </c>
      <c r="K37" s="117">
        <v>8952</v>
      </c>
      <c r="L37" s="164">
        <v>3092867</v>
      </c>
      <c r="M37" s="118" t="s">
        <v>174</v>
      </c>
      <c r="N37" s="121" t="s">
        <v>203</v>
      </c>
      <c r="O37" s="170">
        <v>1</v>
      </c>
      <c r="P37" s="134"/>
      <c r="Q37" s="134">
        <f t="shared" si="3"/>
        <v>0</v>
      </c>
      <c r="R37" s="152"/>
      <c r="S37" s="134"/>
      <c r="T37" s="134"/>
      <c r="U37" s="134"/>
      <c r="V37" s="134"/>
      <c r="W37" s="134"/>
      <c r="X37" s="134"/>
      <c r="Y37" s="134"/>
      <c r="Z37" s="174"/>
      <c r="AA37" s="134"/>
      <c r="AB37" s="134"/>
      <c r="AC37" s="134"/>
    </row>
    <row r="38" spans="1:29" ht="36">
      <c r="A38" s="288">
        <v>30275183</v>
      </c>
      <c r="B38" s="123">
        <v>31</v>
      </c>
      <c r="C38" s="119" t="s">
        <v>29</v>
      </c>
      <c r="D38" s="123" t="s">
        <v>160</v>
      </c>
      <c r="E38" s="117">
        <v>0</v>
      </c>
      <c r="F38" s="118" t="s">
        <v>166</v>
      </c>
      <c r="G38" s="118" t="s">
        <v>231</v>
      </c>
      <c r="H38" s="118" t="s">
        <v>100</v>
      </c>
      <c r="I38" s="272" t="s">
        <v>168</v>
      </c>
      <c r="J38" s="117">
        <v>2018</v>
      </c>
      <c r="K38" s="117" t="s">
        <v>232</v>
      </c>
      <c r="L38" s="287">
        <v>58642</v>
      </c>
      <c r="M38" s="118" t="s">
        <v>233</v>
      </c>
      <c r="N38" s="121" t="s">
        <v>234</v>
      </c>
      <c r="O38" s="170"/>
      <c r="P38" s="134">
        <v>1000</v>
      </c>
      <c r="Q38" s="134">
        <f t="shared" si="3"/>
        <v>0</v>
      </c>
      <c r="R38" s="152"/>
      <c r="S38" s="134"/>
      <c r="T38" s="134"/>
      <c r="U38" s="183"/>
      <c r="V38" s="134"/>
      <c r="W38" s="134"/>
      <c r="X38" s="134"/>
      <c r="Y38" s="134"/>
      <c r="Z38" s="174"/>
      <c r="AA38" s="134"/>
      <c r="AB38" s="134"/>
      <c r="AC38" s="134"/>
    </row>
    <row r="39" spans="1:29" ht="36">
      <c r="A39" s="288">
        <v>40008745</v>
      </c>
      <c r="B39" s="123">
        <v>31</v>
      </c>
      <c r="C39" s="119" t="s">
        <v>29</v>
      </c>
      <c r="D39" s="123" t="s">
        <v>160</v>
      </c>
      <c r="E39" s="117">
        <v>0</v>
      </c>
      <c r="F39" s="118" t="s">
        <v>161</v>
      </c>
      <c r="G39" s="124" t="s">
        <v>235</v>
      </c>
      <c r="H39" s="118" t="s">
        <v>83</v>
      </c>
      <c r="I39" s="272" t="s">
        <v>168</v>
      </c>
      <c r="J39" s="117">
        <v>2019</v>
      </c>
      <c r="K39" s="117">
        <v>10023</v>
      </c>
      <c r="L39" s="164">
        <v>3144108</v>
      </c>
      <c r="M39" s="118" t="s">
        <v>174</v>
      </c>
      <c r="N39" s="121" t="s">
        <v>185</v>
      </c>
      <c r="O39" s="170"/>
      <c r="P39" s="134"/>
      <c r="Q39" s="134">
        <f t="shared" si="3"/>
        <v>0</v>
      </c>
      <c r="R39" s="152"/>
      <c r="S39" s="134"/>
      <c r="T39" s="134"/>
      <c r="U39" s="181"/>
      <c r="V39" s="134"/>
      <c r="W39" s="134"/>
      <c r="X39" s="134"/>
      <c r="Y39" s="134"/>
      <c r="Z39" s="174"/>
      <c r="AA39" s="134"/>
      <c r="AB39" s="134"/>
      <c r="AC39" s="134"/>
    </row>
    <row r="40" spans="1:29" ht="36">
      <c r="A40" s="288">
        <v>40003156</v>
      </c>
      <c r="B40" s="117">
        <v>31</v>
      </c>
      <c r="C40" s="119" t="s">
        <v>29</v>
      </c>
      <c r="D40" s="123" t="s">
        <v>160</v>
      </c>
      <c r="E40" s="117">
        <v>0</v>
      </c>
      <c r="F40" s="118" t="s">
        <v>161</v>
      </c>
      <c r="G40" s="124" t="s">
        <v>236</v>
      </c>
      <c r="H40" s="118" t="s">
        <v>83</v>
      </c>
      <c r="I40" s="272" t="s">
        <v>217</v>
      </c>
      <c r="J40" s="117">
        <v>2019</v>
      </c>
      <c r="K40" s="117">
        <v>9830</v>
      </c>
      <c r="L40" s="172">
        <v>100620</v>
      </c>
      <c r="M40" s="172" t="s">
        <v>174</v>
      </c>
      <c r="N40" s="121" t="s">
        <v>161</v>
      </c>
      <c r="O40" s="170">
        <v>54200</v>
      </c>
      <c r="P40" s="134">
        <v>35000</v>
      </c>
      <c r="Q40" s="134">
        <f t="shared" si="3"/>
        <v>0</v>
      </c>
      <c r="R40" s="152"/>
      <c r="S40" s="134"/>
      <c r="T40" s="134"/>
      <c r="U40" s="134"/>
      <c r="V40" s="134"/>
      <c r="W40" s="134"/>
      <c r="X40" s="134"/>
      <c r="Y40" s="134"/>
      <c r="Z40" s="174"/>
      <c r="AA40" s="134"/>
      <c r="AB40" s="134"/>
      <c r="AC40" s="134"/>
    </row>
    <row r="41" spans="1:29" ht="36">
      <c r="A41" s="288">
        <v>40021832</v>
      </c>
      <c r="B41" s="123">
        <v>31</v>
      </c>
      <c r="C41" s="119" t="s">
        <v>29</v>
      </c>
      <c r="D41" s="123" t="s">
        <v>160</v>
      </c>
      <c r="E41" s="117">
        <v>0</v>
      </c>
      <c r="F41" s="118" t="s">
        <v>161</v>
      </c>
      <c r="G41" s="124" t="s">
        <v>237</v>
      </c>
      <c r="H41" s="118" t="s">
        <v>98</v>
      </c>
      <c r="I41" s="272" t="s">
        <v>168</v>
      </c>
      <c r="J41" s="117">
        <v>2022</v>
      </c>
      <c r="K41" s="117">
        <v>12044</v>
      </c>
      <c r="L41" s="164">
        <v>509961.86700000003</v>
      </c>
      <c r="M41" s="173" t="s">
        <v>177</v>
      </c>
      <c r="N41" s="121" t="s">
        <v>238</v>
      </c>
      <c r="O41" s="170">
        <v>31136</v>
      </c>
      <c r="P41" s="134"/>
      <c r="Q41" s="134">
        <f t="shared" si="3"/>
        <v>0</v>
      </c>
      <c r="R41" s="152"/>
      <c r="S41" s="134"/>
      <c r="T41" s="134"/>
      <c r="U41" s="134"/>
      <c r="V41" s="134"/>
      <c r="W41" s="134"/>
      <c r="X41" s="134"/>
      <c r="Y41" s="134"/>
      <c r="Z41" s="174"/>
      <c r="AA41" s="134"/>
      <c r="AB41" s="134"/>
      <c r="AC41" s="134"/>
    </row>
    <row r="42" spans="1:29" ht="36">
      <c r="A42" s="288">
        <v>30010979</v>
      </c>
      <c r="B42" s="123">
        <v>31</v>
      </c>
      <c r="C42" s="119" t="s">
        <v>29</v>
      </c>
      <c r="D42" s="123" t="s">
        <v>160</v>
      </c>
      <c r="E42" s="117">
        <v>0</v>
      </c>
      <c r="F42" s="118" t="s">
        <v>161</v>
      </c>
      <c r="G42" s="124" t="s">
        <v>239</v>
      </c>
      <c r="H42" s="118" t="s">
        <v>90</v>
      </c>
      <c r="I42" s="272" t="s">
        <v>207</v>
      </c>
      <c r="J42" s="117">
        <v>2018</v>
      </c>
      <c r="K42" s="117">
        <v>9636</v>
      </c>
      <c r="L42" s="164">
        <v>270819</v>
      </c>
      <c r="M42" s="118" t="s">
        <v>208</v>
      </c>
      <c r="N42" s="121" t="s">
        <v>161</v>
      </c>
      <c r="O42" s="170">
        <v>1</v>
      </c>
      <c r="P42" s="134"/>
      <c r="Q42" s="134">
        <f t="shared" si="3"/>
        <v>0</v>
      </c>
      <c r="R42" s="152"/>
      <c r="S42" s="134"/>
      <c r="T42" s="134"/>
      <c r="U42" s="183"/>
      <c r="V42" s="134"/>
      <c r="W42" s="134"/>
      <c r="X42" s="134"/>
      <c r="Y42" s="134"/>
      <c r="Z42" s="174"/>
      <c r="AA42" s="134"/>
      <c r="AB42" s="134"/>
      <c r="AC42" s="134"/>
    </row>
    <row r="43" spans="1:29" ht="36">
      <c r="A43" s="288">
        <v>30100596</v>
      </c>
      <c r="B43" s="123">
        <v>31</v>
      </c>
      <c r="C43" s="119" t="s">
        <v>29</v>
      </c>
      <c r="D43" s="123" t="s">
        <v>160</v>
      </c>
      <c r="E43" s="117">
        <v>0</v>
      </c>
      <c r="F43" s="118" t="s">
        <v>161</v>
      </c>
      <c r="G43" s="124" t="s">
        <v>240</v>
      </c>
      <c r="H43" s="118" t="s">
        <v>93</v>
      </c>
      <c r="I43" s="272" t="s">
        <v>207</v>
      </c>
      <c r="J43" s="117">
        <v>2018</v>
      </c>
      <c r="K43" s="117">
        <v>9636</v>
      </c>
      <c r="L43" s="164">
        <v>593506</v>
      </c>
      <c r="M43" s="118" t="s">
        <v>208</v>
      </c>
      <c r="N43" s="121" t="s">
        <v>185</v>
      </c>
      <c r="O43" s="170"/>
      <c r="P43" s="134"/>
      <c r="Q43" s="134">
        <f t="shared" si="3"/>
        <v>0</v>
      </c>
      <c r="R43" s="152"/>
      <c r="S43" s="134"/>
      <c r="T43" s="134"/>
      <c r="U43" s="183"/>
      <c r="V43" s="134"/>
      <c r="W43" s="134"/>
      <c r="X43" s="134"/>
      <c r="Y43" s="134"/>
      <c r="Z43" s="174"/>
      <c r="AA43" s="134"/>
      <c r="AB43" s="134"/>
      <c r="AC43" s="134"/>
    </row>
    <row r="44" spans="1:29" ht="36">
      <c r="A44" s="288">
        <v>30431172</v>
      </c>
      <c r="B44" s="123">
        <v>31</v>
      </c>
      <c r="C44" s="119" t="s">
        <v>29</v>
      </c>
      <c r="D44" s="123" t="s">
        <v>160</v>
      </c>
      <c r="E44" s="117">
        <v>0</v>
      </c>
      <c r="F44" s="118" t="s">
        <v>166</v>
      </c>
      <c r="G44" s="124" t="s">
        <v>241</v>
      </c>
      <c r="H44" s="118" t="s">
        <v>83</v>
      </c>
      <c r="I44" s="272" t="s">
        <v>219</v>
      </c>
      <c r="J44" s="117">
        <v>2018</v>
      </c>
      <c r="K44" s="117">
        <v>9060</v>
      </c>
      <c r="L44" s="164">
        <v>152285</v>
      </c>
      <c r="M44" s="118" t="s">
        <v>174</v>
      </c>
      <c r="N44" s="121" t="s">
        <v>203</v>
      </c>
      <c r="O44" s="170">
        <v>1</v>
      </c>
      <c r="P44" s="134">
        <v>23000</v>
      </c>
      <c r="Q44" s="134">
        <f t="shared" si="3"/>
        <v>0</v>
      </c>
      <c r="R44" s="152"/>
      <c r="S44" s="134"/>
      <c r="T44" s="134"/>
      <c r="U44" s="183"/>
      <c r="V44" s="134"/>
      <c r="W44" s="134"/>
      <c r="X44" s="134"/>
      <c r="Y44" s="134"/>
      <c r="Z44" s="174"/>
      <c r="AA44" s="134"/>
      <c r="AB44" s="134"/>
      <c r="AC44" s="134"/>
    </row>
    <row r="45" spans="1:29">
      <c r="A45" s="291" t="s">
        <v>242</v>
      </c>
      <c r="B45" s="123">
        <v>34</v>
      </c>
      <c r="C45" s="119" t="s">
        <v>42</v>
      </c>
      <c r="D45" s="123">
        <v>34</v>
      </c>
      <c r="E45" s="117">
        <v>0</v>
      </c>
      <c r="F45" s="118" t="s">
        <v>161</v>
      </c>
      <c r="G45" s="124" t="s">
        <v>243</v>
      </c>
      <c r="H45" s="251" t="s">
        <v>244</v>
      </c>
      <c r="I45" s="124" t="s">
        <v>242</v>
      </c>
      <c r="J45" s="117" t="s">
        <v>242</v>
      </c>
      <c r="K45" s="117" t="s">
        <v>242</v>
      </c>
      <c r="L45" s="136" t="s">
        <v>245</v>
      </c>
      <c r="M45" s="117" t="s">
        <v>242</v>
      </c>
      <c r="N45" s="121" t="s">
        <v>161</v>
      </c>
      <c r="O45" s="170"/>
      <c r="P45" s="134"/>
      <c r="Q45" s="134">
        <f t="shared" si="3"/>
        <v>9370562.2540000007</v>
      </c>
      <c r="R45" s="283">
        <v>9370562.2540000007</v>
      </c>
      <c r="S45" s="174"/>
      <c r="T45" s="134"/>
      <c r="U45" s="180"/>
      <c r="V45" s="134"/>
      <c r="W45" s="134"/>
      <c r="X45" s="134"/>
      <c r="Y45" s="134"/>
      <c r="Z45" s="174"/>
      <c r="AA45" s="134"/>
      <c r="AB45" s="134"/>
      <c r="AC45" s="134"/>
    </row>
    <row r="46" spans="1:29" ht="36">
      <c r="A46" s="288">
        <v>40000508</v>
      </c>
      <c r="B46" s="123">
        <v>31</v>
      </c>
      <c r="C46" s="119" t="s">
        <v>24</v>
      </c>
      <c r="D46" s="123" t="s">
        <v>160</v>
      </c>
      <c r="E46" s="117"/>
      <c r="F46" s="118" t="s">
        <v>161</v>
      </c>
      <c r="G46" s="124" t="s">
        <v>246</v>
      </c>
      <c r="H46" s="118" t="s">
        <v>103</v>
      </c>
      <c r="I46" s="272" t="s">
        <v>247</v>
      </c>
      <c r="J46" s="117">
        <v>2018</v>
      </c>
      <c r="K46" s="117">
        <v>9136</v>
      </c>
      <c r="L46" s="164">
        <v>307800</v>
      </c>
      <c r="M46" s="118" t="s">
        <v>248</v>
      </c>
      <c r="N46" s="121" t="s">
        <v>161</v>
      </c>
      <c r="O46" s="170">
        <v>189825</v>
      </c>
      <c r="P46" s="134"/>
      <c r="Q46" s="134">
        <f t="shared" si="3"/>
        <v>74425</v>
      </c>
      <c r="R46" s="152"/>
      <c r="S46" s="134"/>
      <c r="T46" s="134"/>
      <c r="U46" s="183"/>
      <c r="V46" s="134"/>
      <c r="W46" s="134"/>
      <c r="X46" s="134">
        <v>74425</v>
      </c>
      <c r="Y46" s="134"/>
      <c r="Z46" s="174"/>
      <c r="AA46" s="134"/>
      <c r="AB46" s="134"/>
      <c r="AC46" s="134"/>
    </row>
    <row r="47" spans="1:29" ht="24">
      <c r="A47" s="291" t="s">
        <v>242</v>
      </c>
      <c r="B47" s="123">
        <v>31</v>
      </c>
      <c r="C47" s="119" t="s">
        <v>29</v>
      </c>
      <c r="D47" s="123" t="s">
        <v>160</v>
      </c>
      <c r="E47" s="123">
        <v>0</v>
      </c>
      <c r="F47" s="118" t="s">
        <v>161</v>
      </c>
      <c r="G47" s="172" t="s">
        <v>249</v>
      </c>
      <c r="H47" s="118" t="s">
        <v>245</v>
      </c>
      <c r="I47" s="118" t="s">
        <v>242</v>
      </c>
      <c r="J47" s="117" t="s">
        <v>245</v>
      </c>
      <c r="K47" s="117" t="s">
        <v>245</v>
      </c>
      <c r="L47" s="136" t="s">
        <v>245</v>
      </c>
      <c r="M47" s="117" t="s">
        <v>242</v>
      </c>
      <c r="N47" s="121" t="s">
        <v>245</v>
      </c>
      <c r="O47" s="170">
        <v>3000001</v>
      </c>
      <c r="P47" s="134"/>
      <c r="Q47" s="134">
        <f t="shared" si="3"/>
        <v>0</v>
      </c>
      <c r="R47" s="152"/>
      <c r="S47" s="134"/>
      <c r="T47" s="134"/>
      <c r="U47" s="183"/>
      <c r="V47" s="134"/>
      <c r="W47" s="134"/>
      <c r="X47" s="134"/>
      <c r="Y47" s="134"/>
      <c r="Z47" s="174"/>
      <c r="AA47" s="134"/>
      <c r="AB47" s="134"/>
      <c r="AC47" s="134"/>
    </row>
    <row r="48" spans="1:29" ht="36">
      <c r="A48" s="288">
        <v>40013598</v>
      </c>
      <c r="B48" s="123">
        <v>31</v>
      </c>
      <c r="C48" s="119" t="s">
        <v>29</v>
      </c>
      <c r="D48" s="123" t="s">
        <v>160</v>
      </c>
      <c r="E48" s="117">
        <v>0</v>
      </c>
      <c r="F48" s="118" t="s">
        <v>161</v>
      </c>
      <c r="G48" s="124" t="s">
        <v>250</v>
      </c>
      <c r="H48" s="118" t="s">
        <v>100</v>
      </c>
      <c r="I48" s="272" t="s">
        <v>173</v>
      </c>
      <c r="J48" s="117">
        <v>2020</v>
      </c>
      <c r="K48" s="117">
        <v>10601</v>
      </c>
      <c r="L48" s="164">
        <v>405586.68</v>
      </c>
      <c r="M48" s="118" t="s">
        <v>199</v>
      </c>
      <c r="N48" s="121" t="s">
        <v>1055</v>
      </c>
      <c r="O48" s="170">
        <v>1</v>
      </c>
      <c r="P48" s="134"/>
      <c r="Q48" s="134">
        <f t="shared" si="3"/>
        <v>0</v>
      </c>
      <c r="R48" s="152"/>
      <c r="S48" s="134"/>
      <c r="T48" s="134"/>
      <c r="U48" s="134"/>
      <c r="V48" s="195"/>
      <c r="W48" s="134"/>
      <c r="X48" s="134"/>
      <c r="Y48" s="134"/>
      <c r="Z48" s="134"/>
      <c r="AA48" s="134"/>
      <c r="AB48" s="134"/>
      <c r="AC48" s="134"/>
    </row>
    <row r="49" spans="1:29" ht="24">
      <c r="A49" s="288">
        <v>30097621</v>
      </c>
      <c r="B49" s="123">
        <v>31</v>
      </c>
      <c r="C49" s="119" t="s">
        <v>29</v>
      </c>
      <c r="D49" s="123" t="s">
        <v>160</v>
      </c>
      <c r="E49" s="117">
        <v>0</v>
      </c>
      <c r="F49" s="118" t="s">
        <v>161</v>
      </c>
      <c r="G49" s="124" t="s">
        <v>251</v>
      </c>
      <c r="H49" s="118" t="s">
        <v>84</v>
      </c>
      <c r="I49" s="272" t="s">
        <v>163</v>
      </c>
      <c r="J49" s="117">
        <v>2014</v>
      </c>
      <c r="K49" s="117">
        <v>6456</v>
      </c>
      <c r="L49" s="164">
        <v>225419</v>
      </c>
      <c r="M49" s="118" t="s">
        <v>184</v>
      </c>
      <c r="N49" s="121" t="s">
        <v>178</v>
      </c>
      <c r="O49" s="170">
        <v>1</v>
      </c>
      <c r="P49" s="134">
        <v>6537</v>
      </c>
      <c r="Q49" s="134">
        <f t="shared" si="3"/>
        <v>0</v>
      </c>
      <c r="R49" s="152"/>
      <c r="S49" s="134"/>
      <c r="T49" s="134"/>
      <c r="U49" s="184"/>
      <c r="V49" s="134"/>
      <c r="W49" s="134"/>
      <c r="X49" s="134"/>
      <c r="Y49" s="134"/>
      <c r="Z49" s="134"/>
      <c r="AA49" s="134"/>
      <c r="AB49" s="134"/>
      <c r="AC49" s="134"/>
    </row>
    <row r="50" spans="1:29" ht="36">
      <c r="A50" s="288">
        <v>40012018</v>
      </c>
      <c r="B50" s="123">
        <v>31</v>
      </c>
      <c r="C50" s="119" t="s">
        <v>29</v>
      </c>
      <c r="D50" s="123" t="s">
        <v>160</v>
      </c>
      <c r="E50" s="117">
        <v>0</v>
      </c>
      <c r="F50" s="118" t="s">
        <v>161</v>
      </c>
      <c r="G50" s="124" t="s">
        <v>252</v>
      </c>
      <c r="H50" s="118" t="s">
        <v>87</v>
      </c>
      <c r="I50" s="272" t="s">
        <v>189</v>
      </c>
      <c r="J50" s="117">
        <v>2021</v>
      </c>
      <c r="K50" s="117">
        <v>11451</v>
      </c>
      <c r="L50" s="164">
        <v>296047</v>
      </c>
      <c r="M50" s="118" t="s">
        <v>253</v>
      </c>
      <c r="N50" s="121" t="s">
        <v>161</v>
      </c>
      <c r="O50" s="170">
        <v>55307</v>
      </c>
      <c r="P50" s="134">
        <v>136305</v>
      </c>
      <c r="Q50" s="134">
        <f t="shared" si="3"/>
        <v>131432.625</v>
      </c>
      <c r="R50" s="152"/>
      <c r="S50" s="134"/>
      <c r="T50" s="134"/>
      <c r="U50" s="134">
        <v>39980.057000000001</v>
      </c>
      <c r="V50" s="134">
        <v>4401.9110000000001</v>
      </c>
      <c r="W50" s="134"/>
      <c r="X50" s="134">
        <v>29202.303</v>
      </c>
      <c r="Y50" s="134">
        <v>57848.353999999999</v>
      </c>
      <c r="Z50" s="174"/>
      <c r="AA50" s="134"/>
      <c r="AB50" s="134"/>
      <c r="AC50" s="134"/>
    </row>
    <row r="51" spans="1:29" ht="48">
      <c r="A51" s="288">
        <v>30483251</v>
      </c>
      <c r="B51" s="123">
        <v>31</v>
      </c>
      <c r="C51" s="119" t="s">
        <v>29</v>
      </c>
      <c r="D51" s="123" t="s">
        <v>160</v>
      </c>
      <c r="E51" s="117">
        <v>0</v>
      </c>
      <c r="F51" s="118" t="s">
        <v>166</v>
      </c>
      <c r="G51" s="124" t="s">
        <v>254</v>
      </c>
      <c r="H51" s="118" t="s">
        <v>83</v>
      </c>
      <c r="I51" s="272" t="s">
        <v>189</v>
      </c>
      <c r="J51" s="117">
        <v>2017</v>
      </c>
      <c r="K51" s="117">
        <v>8952</v>
      </c>
      <c r="L51" s="164">
        <v>781210</v>
      </c>
      <c r="M51" s="118" t="s">
        <v>174</v>
      </c>
      <c r="N51" s="121" t="s">
        <v>161</v>
      </c>
      <c r="O51" s="170">
        <v>1</v>
      </c>
      <c r="P51" s="134">
        <v>1000</v>
      </c>
      <c r="Q51" s="134">
        <f t="shared" si="3"/>
        <v>0</v>
      </c>
      <c r="R51" s="152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</row>
    <row r="52" spans="1:29" ht="24">
      <c r="A52" s="288">
        <v>30124186</v>
      </c>
      <c r="B52" s="123">
        <v>31</v>
      </c>
      <c r="C52" s="119" t="s">
        <v>29</v>
      </c>
      <c r="D52" s="123" t="s">
        <v>160</v>
      </c>
      <c r="E52" s="117">
        <v>0</v>
      </c>
      <c r="F52" s="118" t="s">
        <v>161</v>
      </c>
      <c r="G52" s="124" t="s">
        <v>255</v>
      </c>
      <c r="H52" s="118" t="s">
        <v>94</v>
      </c>
      <c r="I52" s="272" t="s">
        <v>180</v>
      </c>
      <c r="J52" s="117">
        <v>2017</v>
      </c>
      <c r="K52" s="117">
        <v>8952</v>
      </c>
      <c r="L52" s="164">
        <v>918369</v>
      </c>
      <c r="M52" s="118" t="s">
        <v>256</v>
      </c>
      <c r="N52" s="121" t="s">
        <v>203</v>
      </c>
      <c r="O52" s="170">
        <v>3457</v>
      </c>
      <c r="P52" s="134">
        <v>1000</v>
      </c>
      <c r="Q52" s="134">
        <f t="shared" si="3"/>
        <v>0</v>
      </c>
      <c r="R52" s="152"/>
      <c r="S52" s="134"/>
      <c r="T52" s="134"/>
      <c r="U52" s="183"/>
      <c r="V52" s="134"/>
      <c r="W52" s="134"/>
      <c r="X52" s="134"/>
      <c r="Y52" s="134"/>
      <c r="Z52" s="174"/>
      <c r="AA52" s="134"/>
      <c r="AB52" s="134"/>
      <c r="AC52" s="134"/>
    </row>
    <row r="53" spans="1:29" ht="36">
      <c r="A53" s="288">
        <v>30439686</v>
      </c>
      <c r="B53" s="123">
        <v>31</v>
      </c>
      <c r="C53" s="119" t="s">
        <v>29</v>
      </c>
      <c r="D53" s="123" t="s">
        <v>160</v>
      </c>
      <c r="E53" s="117">
        <v>0</v>
      </c>
      <c r="F53" s="118" t="s">
        <v>161</v>
      </c>
      <c r="G53" s="124" t="s">
        <v>257</v>
      </c>
      <c r="H53" s="118" t="s">
        <v>83</v>
      </c>
      <c r="I53" s="272" t="s">
        <v>180</v>
      </c>
      <c r="J53" s="117">
        <v>2017</v>
      </c>
      <c r="K53" s="117">
        <v>8952</v>
      </c>
      <c r="L53" s="164">
        <v>2226555.1120000002</v>
      </c>
      <c r="M53" s="118" t="s">
        <v>174</v>
      </c>
      <c r="N53" s="121" t="s">
        <v>238</v>
      </c>
      <c r="O53" s="170">
        <v>984</v>
      </c>
      <c r="P53" s="134"/>
      <c r="Q53" s="134">
        <f t="shared" ref="Q53:Q74" si="4">SUM(R53:AC53)</f>
        <v>0</v>
      </c>
      <c r="R53" s="152"/>
      <c r="S53" s="134"/>
      <c r="T53" s="134"/>
      <c r="U53" s="181"/>
      <c r="V53" s="134"/>
      <c r="W53" s="134"/>
      <c r="X53" s="134"/>
      <c r="Y53" s="134"/>
      <c r="Z53" s="134"/>
      <c r="AA53" s="134"/>
      <c r="AB53" s="134"/>
      <c r="AC53" s="134"/>
    </row>
    <row r="54" spans="1:29" ht="24">
      <c r="A54" s="288">
        <v>30150673</v>
      </c>
      <c r="B54" s="123">
        <v>31</v>
      </c>
      <c r="C54" s="119" t="s">
        <v>29</v>
      </c>
      <c r="D54" s="123" t="s">
        <v>160</v>
      </c>
      <c r="E54" s="117">
        <v>0</v>
      </c>
      <c r="F54" s="118" t="s">
        <v>161</v>
      </c>
      <c r="G54" s="124" t="s">
        <v>259</v>
      </c>
      <c r="H54" s="118" t="s">
        <v>94</v>
      </c>
      <c r="I54" s="272" t="s">
        <v>180</v>
      </c>
      <c r="J54" s="117">
        <v>2017</v>
      </c>
      <c r="K54" s="117">
        <v>8952</v>
      </c>
      <c r="L54" s="164">
        <v>566289</v>
      </c>
      <c r="M54" s="118" t="s">
        <v>256</v>
      </c>
      <c r="N54" s="121" t="s">
        <v>203</v>
      </c>
      <c r="O54" s="170">
        <v>1</v>
      </c>
      <c r="P54" s="134"/>
      <c r="Q54" s="134">
        <f t="shared" si="4"/>
        <v>0</v>
      </c>
      <c r="R54" s="152"/>
      <c r="S54" s="134"/>
      <c r="T54" s="134"/>
      <c r="U54" s="183"/>
      <c r="V54" s="134"/>
      <c r="W54" s="134"/>
      <c r="X54" s="134"/>
      <c r="Y54" s="134"/>
      <c r="Z54" s="174"/>
      <c r="AA54" s="134"/>
      <c r="AB54" s="134"/>
      <c r="AC54" s="134"/>
    </row>
    <row r="55" spans="1:29" ht="36">
      <c r="A55" s="288">
        <v>30457897</v>
      </c>
      <c r="B55" s="123">
        <v>31</v>
      </c>
      <c r="C55" s="119" t="s">
        <v>29</v>
      </c>
      <c r="D55" s="123" t="s">
        <v>160</v>
      </c>
      <c r="E55" s="117">
        <v>0</v>
      </c>
      <c r="F55" s="118" t="s">
        <v>161</v>
      </c>
      <c r="G55" s="124" t="s">
        <v>260</v>
      </c>
      <c r="H55" s="118" t="s">
        <v>83</v>
      </c>
      <c r="I55" s="272" t="s">
        <v>180</v>
      </c>
      <c r="J55" s="117">
        <v>2018</v>
      </c>
      <c r="K55" s="117">
        <v>9636</v>
      </c>
      <c r="L55" s="164">
        <v>990209.60400000005</v>
      </c>
      <c r="M55" s="118" t="s">
        <v>174</v>
      </c>
      <c r="N55" s="121" t="s">
        <v>238</v>
      </c>
      <c r="O55" s="170"/>
      <c r="P55" s="134"/>
      <c r="Q55" s="134">
        <f t="shared" si="4"/>
        <v>0</v>
      </c>
      <c r="R55" s="152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</row>
    <row r="56" spans="1:29" ht="24">
      <c r="A56" s="288">
        <v>30086690</v>
      </c>
      <c r="B56" s="123">
        <v>31</v>
      </c>
      <c r="C56" s="119" t="s">
        <v>29</v>
      </c>
      <c r="D56" s="123" t="s">
        <v>160</v>
      </c>
      <c r="E56" s="117">
        <v>0</v>
      </c>
      <c r="F56" s="118" t="s">
        <v>161</v>
      </c>
      <c r="G56" s="124" t="s">
        <v>261</v>
      </c>
      <c r="H56" s="118" t="s">
        <v>87</v>
      </c>
      <c r="I56" s="272" t="s">
        <v>180</v>
      </c>
      <c r="J56" s="117">
        <v>2012</v>
      </c>
      <c r="K56" s="117">
        <v>5393</v>
      </c>
      <c r="L56" s="164">
        <v>6016223</v>
      </c>
      <c r="M56" s="118" t="s">
        <v>253</v>
      </c>
      <c r="N56" s="121" t="s">
        <v>1054</v>
      </c>
      <c r="O56" s="170">
        <v>1</v>
      </c>
      <c r="P56" s="134"/>
      <c r="Q56" s="134">
        <f t="shared" si="4"/>
        <v>0</v>
      </c>
      <c r="R56" s="152"/>
      <c r="S56" s="134"/>
      <c r="T56" s="134"/>
      <c r="U56" s="181"/>
      <c r="V56" s="195"/>
      <c r="W56" s="134"/>
      <c r="X56" s="134"/>
      <c r="Y56" s="134"/>
      <c r="Z56" s="174"/>
      <c r="AA56" s="134"/>
      <c r="AB56" s="134"/>
      <c r="AC56" s="134"/>
    </row>
    <row r="57" spans="1:29" ht="36">
      <c r="A57" s="288">
        <v>40016874</v>
      </c>
      <c r="B57" s="123">
        <v>31</v>
      </c>
      <c r="C57" s="119" t="s">
        <v>29</v>
      </c>
      <c r="D57" s="123" t="s">
        <v>160</v>
      </c>
      <c r="E57" s="117">
        <v>0</v>
      </c>
      <c r="F57" s="118" t="s">
        <v>161</v>
      </c>
      <c r="G57" s="124" t="s">
        <v>262</v>
      </c>
      <c r="H57" s="118" t="s">
        <v>99</v>
      </c>
      <c r="I57" s="272" t="s">
        <v>168</v>
      </c>
      <c r="J57" s="117">
        <v>2021</v>
      </c>
      <c r="K57" s="117">
        <v>11216</v>
      </c>
      <c r="L57" s="164">
        <v>2685838</v>
      </c>
      <c r="M57" s="173" t="s">
        <v>263</v>
      </c>
      <c r="N57" s="121" t="s">
        <v>161</v>
      </c>
      <c r="O57" s="170">
        <v>332052</v>
      </c>
      <c r="P57" s="134">
        <v>721623</v>
      </c>
      <c r="Q57" s="134">
        <f t="shared" si="4"/>
        <v>591719.402</v>
      </c>
      <c r="R57" s="152"/>
      <c r="S57" s="134"/>
      <c r="T57" s="134">
        <v>81129.718999999997</v>
      </c>
      <c r="U57" s="134">
        <v>2800.7220000000002</v>
      </c>
      <c r="V57" s="134">
        <v>105500.708</v>
      </c>
      <c r="W57" s="134">
        <v>56851.347000000002</v>
      </c>
      <c r="X57" s="134">
        <v>12455.799000000001</v>
      </c>
      <c r="Y57" s="134">
        <v>75688.539999999994</v>
      </c>
      <c r="Z57" s="134">
        <v>257292.56700000001</v>
      </c>
      <c r="AA57" s="134"/>
      <c r="AB57" s="134"/>
      <c r="AC57" s="134"/>
    </row>
    <row r="58" spans="1:29" ht="36">
      <c r="A58" s="288">
        <v>30091815</v>
      </c>
      <c r="B58" s="123">
        <v>31</v>
      </c>
      <c r="C58" s="119" t="s">
        <v>29</v>
      </c>
      <c r="D58" s="123" t="s">
        <v>160</v>
      </c>
      <c r="E58" s="117">
        <v>0</v>
      </c>
      <c r="F58" s="118" t="s">
        <v>161</v>
      </c>
      <c r="G58" s="124" t="s">
        <v>264</v>
      </c>
      <c r="H58" s="118" t="s">
        <v>90</v>
      </c>
      <c r="I58" s="272" t="s">
        <v>168</v>
      </c>
      <c r="J58" s="117">
        <v>2021</v>
      </c>
      <c r="K58" s="117">
        <v>11216</v>
      </c>
      <c r="L58" s="164">
        <v>5990835.1739999996</v>
      </c>
      <c r="M58" s="118" t="s">
        <v>195</v>
      </c>
      <c r="N58" s="121" t="s">
        <v>161</v>
      </c>
      <c r="O58" s="170">
        <v>2500000</v>
      </c>
      <c r="P58" s="134">
        <v>778000</v>
      </c>
      <c r="Q58" s="134">
        <f t="shared" si="4"/>
        <v>1081810.2650000001</v>
      </c>
      <c r="R58" s="152"/>
      <c r="S58" s="134"/>
      <c r="T58" s="134">
        <v>508071.18900000001</v>
      </c>
      <c r="U58" s="134">
        <v>151859.21900000001</v>
      </c>
      <c r="V58" s="134">
        <v>45559.834000000003</v>
      </c>
      <c r="W58" s="174"/>
      <c r="X58" s="134">
        <v>163295.23300000001</v>
      </c>
      <c r="Y58" s="134">
        <v>88519.692999999999</v>
      </c>
      <c r="Z58" s="134">
        <v>122029.27899999999</v>
      </c>
      <c r="AA58" s="134">
        <v>2475.8180000000002</v>
      </c>
      <c r="AB58" s="134"/>
      <c r="AC58" s="134"/>
    </row>
    <row r="59" spans="1:29" ht="36">
      <c r="A59" s="288">
        <v>30483947</v>
      </c>
      <c r="B59" s="117">
        <v>31</v>
      </c>
      <c r="C59" s="119" t="s">
        <v>29</v>
      </c>
      <c r="D59" s="123" t="s">
        <v>160</v>
      </c>
      <c r="E59" s="117">
        <v>0</v>
      </c>
      <c r="F59" s="118" t="s">
        <v>161</v>
      </c>
      <c r="G59" s="124" t="s">
        <v>265</v>
      </c>
      <c r="H59" s="118" t="s">
        <v>98</v>
      </c>
      <c r="I59" s="272" t="s">
        <v>168</v>
      </c>
      <c r="J59" s="117">
        <v>2022</v>
      </c>
      <c r="K59" s="117">
        <v>12542</v>
      </c>
      <c r="L59" s="164">
        <v>507633</v>
      </c>
      <c r="M59" s="118" t="s">
        <v>263</v>
      </c>
      <c r="N59" s="121" t="s">
        <v>161</v>
      </c>
      <c r="O59" s="170">
        <v>230516</v>
      </c>
      <c r="P59" s="134">
        <v>361500</v>
      </c>
      <c r="Q59" s="134">
        <f t="shared" si="4"/>
        <v>269985.29200000002</v>
      </c>
      <c r="R59" s="152"/>
      <c r="S59" s="134"/>
      <c r="T59" s="134">
        <v>159122.783</v>
      </c>
      <c r="U59" s="181"/>
      <c r="V59" s="181">
        <v>83467.709000000003</v>
      </c>
      <c r="W59" s="134"/>
      <c r="X59" s="134"/>
      <c r="Y59" s="134"/>
      <c r="Z59" s="134">
        <v>27394.799999999999</v>
      </c>
      <c r="AA59" s="134"/>
      <c r="AB59" s="134"/>
      <c r="AC59" s="134"/>
    </row>
    <row r="60" spans="1:29" ht="36">
      <c r="A60" s="288">
        <v>30393924</v>
      </c>
      <c r="B60" s="123">
        <v>31</v>
      </c>
      <c r="C60" s="119" t="s">
        <v>29</v>
      </c>
      <c r="D60" s="123" t="s">
        <v>160</v>
      </c>
      <c r="E60" s="117">
        <v>0</v>
      </c>
      <c r="F60" s="118" t="s">
        <v>161</v>
      </c>
      <c r="G60" s="124" t="s">
        <v>266</v>
      </c>
      <c r="H60" s="118" t="s">
        <v>94</v>
      </c>
      <c r="I60" s="272" t="s">
        <v>168</v>
      </c>
      <c r="J60" s="117">
        <v>2017</v>
      </c>
      <c r="K60" s="117">
        <v>8952</v>
      </c>
      <c r="L60" s="164">
        <v>696504</v>
      </c>
      <c r="M60" s="118" t="s">
        <v>187</v>
      </c>
      <c r="N60" s="121" t="s">
        <v>203</v>
      </c>
      <c r="O60" s="170">
        <v>128849</v>
      </c>
      <c r="P60" s="134">
        <v>1000</v>
      </c>
      <c r="Q60" s="134">
        <f t="shared" si="4"/>
        <v>0</v>
      </c>
      <c r="R60" s="152"/>
      <c r="S60" s="134"/>
      <c r="T60" s="134"/>
      <c r="U60" s="183"/>
      <c r="V60" s="134"/>
      <c r="W60" s="134"/>
      <c r="X60" s="134"/>
      <c r="Y60" s="134"/>
      <c r="Z60" s="174"/>
      <c r="AA60" s="134"/>
      <c r="AB60" s="134"/>
      <c r="AC60" s="134"/>
    </row>
    <row r="61" spans="1:29" ht="36">
      <c r="A61" s="288">
        <v>40017175</v>
      </c>
      <c r="B61" s="123">
        <v>31</v>
      </c>
      <c r="C61" s="119" t="s">
        <v>29</v>
      </c>
      <c r="D61" s="123" t="s">
        <v>160</v>
      </c>
      <c r="E61" s="117">
        <v>0</v>
      </c>
      <c r="F61" s="118" t="s">
        <v>161</v>
      </c>
      <c r="G61" s="124" t="s">
        <v>267</v>
      </c>
      <c r="H61" s="118" t="s">
        <v>99</v>
      </c>
      <c r="I61" s="272" t="s">
        <v>168</v>
      </c>
      <c r="J61" s="117">
        <v>2020</v>
      </c>
      <c r="K61" s="117">
        <v>10766</v>
      </c>
      <c r="L61" s="164">
        <v>1553305.621</v>
      </c>
      <c r="M61" s="173" t="s">
        <v>263</v>
      </c>
      <c r="N61" s="121" t="s">
        <v>161</v>
      </c>
      <c r="O61" s="170">
        <v>24925</v>
      </c>
      <c r="P61" s="134">
        <v>309797</v>
      </c>
      <c r="Q61" s="134">
        <f t="shared" si="4"/>
        <v>309634.62099999998</v>
      </c>
      <c r="R61" s="152"/>
      <c r="S61" s="134"/>
      <c r="T61" s="134">
        <v>152694.36499999999</v>
      </c>
      <c r="U61" s="134"/>
      <c r="V61" s="134">
        <v>156940.25599999999</v>
      </c>
      <c r="W61" s="134"/>
      <c r="X61" s="134"/>
      <c r="Y61" s="134"/>
      <c r="Z61" s="174"/>
      <c r="AA61" s="134"/>
      <c r="AB61" s="134"/>
      <c r="AC61" s="134"/>
    </row>
    <row r="62" spans="1:29" ht="36">
      <c r="A62" s="288">
        <v>40006352</v>
      </c>
      <c r="B62" s="123">
        <v>31</v>
      </c>
      <c r="C62" s="119" t="s">
        <v>29</v>
      </c>
      <c r="D62" s="123" t="s">
        <v>160</v>
      </c>
      <c r="E62" s="117">
        <v>0</v>
      </c>
      <c r="F62" s="118" t="s">
        <v>161</v>
      </c>
      <c r="G62" s="124" t="s">
        <v>268</v>
      </c>
      <c r="H62" s="118" t="s">
        <v>92</v>
      </c>
      <c r="I62" s="272" t="s">
        <v>163</v>
      </c>
      <c r="J62" s="117">
        <v>2018</v>
      </c>
      <c r="K62" s="117">
        <v>9636</v>
      </c>
      <c r="L62" s="164">
        <v>1723491</v>
      </c>
      <c r="M62" s="118" t="s">
        <v>269</v>
      </c>
      <c r="N62" s="121" t="s">
        <v>161</v>
      </c>
      <c r="O62" s="170">
        <v>2</v>
      </c>
      <c r="P62" s="134">
        <v>565478</v>
      </c>
      <c r="Q62" s="134">
        <f t="shared" si="4"/>
        <v>169846.66500000001</v>
      </c>
      <c r="R62" s="152"/>
      <c r="S62" s="134"/>
      <c r="T62" s="134"/>
      <c r="U62" s="134"/>
      <c r="V62" s="134"/>
      <c r="W62" s="134"/>
      <c r="X62" s="134">
        <v>36113.332000000002</v>
      </c>
      <c r="Y62" s="134">
        <v>38012.678</v>
      </c>
      <c r="Z62" s="134">
        <v>75489.464999999997</v>
      </c>
      <c r="AA62" s="134">
        <v>20231.189999999999</v>
      </c>
      <c r="AB62" s="134"/>
      <c r="AC62" s="134"/>
    </row>
    <row r="63" spans="1:29" ht="36">
      <c r="A63" s="288">
        <v>30073874</v>
      </c>
      <c r="B63" s="117">
        <v>31</v>
      </c>
      <c r="C63" s="119" t="s">
        <v>29</v>
      </c>
      <c r="D63" s="123" t="s">
        <v>160</v>
      </c>
      <c r="E63" s="117">
        <v>0</v>
      </c>
      <c r="F63" s="118" t="s">
        <v>161</v>
      </c>
      <c r="G63" s="124" t="s">
        <v>270</v>
      </c>
      <c r="H63" s="118" t="s">
        <v>92</v>
      </c>
      <c r="I63" s="272" t="s">
        <v>173</v>
      </c>
      <c r="J63" s="117">
        <v>2018</v>
      </c>
      <c r="K63" s="117">
        <v>9219</v>
      </c>
      <c r="L63" s="172">
        <v>8864651.125</v>
      </c>
      <c r="M63" s="118" t="s">
        <v>269</v>
      </c>
      <c r="N63" s="121" t="s">
        <v>161</v>
      </c>
      <c r="O63" s="170">
        <v>659807</v>
      </c>
      <c r="P63" s="134">
        <v>1662169</v>
      </c>
      <c r="Q63" s="134">
        <f t="shared" si="4"/>
        <v>1101554.926</v>
      </c>
      <c r="R63" s="152"/>
      <c r="S63" s="134"/>
      <c r="T63" s="134">
        <v>1101554.926</v>
      </c>
      <c r="U63" s="181"/>
      <c r="V63" s="134"/>
      <c r="W63" s="174"/>
      <c r="X63" s="134"/>
      <c r="Y63" s="134"/>
      <c r="Z63" s="174"/>
      <c r="AA63" s="134"/>
      <c r="AB63" s="134"/>
      <c r="AC63" s="134"/>
    </row>
    <row r="64" spans="1:29" ht="36">
      <c r="A64" s="288">
        <v>30044384</v>
      </c>
      <c r="B64" s="123">
        <v>31</v>
      </c>
      <c r="C64" s="119" t="s">
        <v>29</v>
      </c>
      <c r="D64" s="123" t="s">
        <v>160</v>
      </c>
      <c r="E64" s="117">
        <v>0</v>
      </c>
      <c r="F64" s="118" t="s">
        <v>161</v>
      </c>
      <c r="G64" s="124" t="s">
        <v>271</v>
      </c>
      <c r="H64" s="118" t="s">
        <v>94</v>
      </c>
      <c r="I64" s="272" t="s">
        <v>173</v>
      </c>
      <c r="J64" s="117">
        <v>2011</v>
      </c>
      <c r="K64" s="117" t="s">
        <v>272</v>
      </c>
      <c r="L64" s="164">
        <v>3213022</v>
      </c>
      <c r="M64" s="118" t="s">
        <v>269</v>
      </c>
      <c r="N64" s="121" t="s">
        <v>161</v>
      </c>
      <c r="O64" s="170"/>
      <c r="P64" s="134"/>
      <c r="Q64" s="134">
        <f t="shared" si="4"/>
        <v>2556.0250000000001</v>
      </c>
      <c r="R64" s="152"/>
      <c r="S64" s="134"/>
      <c r="T64" s="134"/>
      <c r="U64" s="134"/>
      <c r="V64" s="134"/>
      <c r="W64" s="134"/>
      <c r="X64" s="134"/>
      <c r="Y64" s="134">
        <v>2556.0250000000001</v>
      </c>
      <c r="Z64" s="134"/>
      <c r="AA64" s="134"/>
      <c r="AB64" s="134"/>
      <c r="AC64" s="134"/>
    </row>
    <row r="65" spans="1:29" ht="36">
      <c r="A65" s="288">
        <v>30109832</v>
      </c>
      <c r="B65" s="123">
        <v>31</v>
      </c>
      <c r="C65" s="119" t="s">
        <v>29</v>
      </c>
      <c r="D65" s="123" t="s">
        <v>160</v>
      </c>
      <c r="E65" s="117">
        <v>0</v>
      </c>
      <c r="F65" s="118" t="s">
        <v>161</v>
      </c>
      <c r="G65" s="124" t="s">
        <v>273</v>
      </c>
      <c r="H65" s="118" t="s">
        <v>91</v>
      </c>
      <c r="I65" s="272" t="s">
        <v>189</v>
      </c>
      <c r="J65" s="117">
        <v>2018</v>
      </c>
      <c r="K65" s="117">
        <v>9060</v>
      </c>
      <c r="L65" s="164">
        <v>1676172</v>
      </c>
      <c r="M65" s="118" t="s">
        <v>165</v>
      </c>
      <c r="N65" s="121" t="s">
        <v>161</v>
      </c>
      <c r="O65" s="170">
        <v>12647</v>
      </c>
      <c r="P65" s="134">
        <v>104508</v>
      </c>
      <c r="Q65" s="134">
        <f t="shared" si="4"/>
        <v>0</v>
      </c>
      <c r="R65" s="152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</row>
    <row r="66" spans="1:29" ht="24">
      <c r="A66" s="288">
        <v>30001032</v>
      </c>
      <c r="B66" s="123">
        <v>31</v>
      </c>
      <c r="C66" s="119" t="s">
        <v>29</v>
      </c>
      <c r="D66" s="123" t="s">
        <v>160</v>
      </c>
      <c r="E66" s="117">
        <v>0</v>
      </c>
      <c r="F66" s="118" t="s">
        <v>161</v>
      </c>
      <c r="G66" s="124" t="s">
        <v>274</v>
      </c>
      <c r="H66" s="118" t="s">
        <v>84</v>
      </c>
      <c r="I66" s="272" t="s">
        <v>173</v>
      </c>
      <c r="J66" s="117">
        <v>2011</v>
      </c>
      <c r="K66" s="117" t="s">
        <v>275</v>
      </c>
      <c r="L66" s="164">
        <v>4625244</v>
      </c>
      <c r="M66" s="118" t="s">
        <v>184</v>
      </c>
      <c r="N66" s="121" t="s">
        <v>161</v>
      </c>
      <c r="O66" s="170">
        <v>1</v>
      </c>
      <c r="P66" s="134">
        <v>2000</v>
      </c>
      <c r="Q66" s="134">
        <f t="shared" si="4"/>
        <v>0</v>
      </c>
      <c r="R66" s="152"/>
      <c r="S66" s="134"/>
      <c r="T66" s="134"/>
      <c r="U66" s="183"/>
      <c r="V66" s="134"/>
      <c r="W66" s="134"/>
      <c r="X66" s="134"/>
      <c r="Y66" s="134"/>
      <c r="Z66" s="134"/>
      <c r="AA66" s="134"/>
      <c r="AB66" s="134"/>
      <c r="AC66" s="134"/>
    </row>
    <row r="67" spans="1:29" ht="36">
      <c r="A67" s="288">
        <v>30484211</v>
      </c>
      <c r="B67" s="123">
        <v>31</v>
      </c>
      <c r="C67" s="119" t="s">
        <v>29</v>
      </c>
      <c r="D67" s="123" t="s">
        <v>160</v>
      </c>
      <c r="E67" s="117">
        <v>0</v>
      </c>
      <c r="F67" s="118" t="s">
        <v>161</v>
      </c>
      <c r="G67" s="124" t="s">
        <v>276</v>
      </c>
      <c r="H67" s="118" t="s">
        <v>84</v>
      </c>
      <c r="I67" s="272" t="s">
        <v>176</v>
      </c>
      <c r="J67" s="117">
        <v>2017</v>
      </c>
      <c r="K67" s="117" t="s">
        <v>277</v>
      </c>
      <c r="L67" s="164">
        <v>1923253.675</v>
      </c>
      <c r="M67" s="118" t="s">
        <v>269</v>
      </c>
      <c r="N67" s="121" t="s">
        <v>161</v>
      </c>
      <c r="O67" s="170">
        <v>660002</v>
      </c>
      <c r="P67" s="134">
        <v>887491</v>
      </c>
      <c r="Q67" s="134">
        <f t="shared" si="4"/>
        <v>900096.30799999996</v>
      </c>
      <c r="R67" s="152"/>
      <c r="S67" s="134"/>
      <c r="T67" s="134">
        <v>247742.34400000001</v>
      </c>
      <c r="U67" s="134">
        <v>155367.068</v>
      </c>
      <c r="V67" s="134">
        <v>127077.137</v>
      </c>
      <c r="W67" s="134">
        <v>143919.736</v>
      </c>
      <c r="X67" s="134">
        <v>180963.38099999999</v>
      </c>
      <c r="Y67" s="134"/>
      <c r="Z67" s="134">
        <v>45026.642</v>
      </c>
      <c r="AA67" s="134"/>
      <c r="AB67" s="134"/>
      <c r="AC67" s="134"/>
    </row>
    <row r="68" spans="1:29" ht="24">
      <c r="A68" s="288">
        <v>30176672</v>
      </c>
      <c r="B68" s="123">
        <v>31</v>
      </c>
      <c r="C68" s="119" t="s">
        <v>29</v>
      </c>
      <c r="D68" s="123" t="s">
        <v>160</v>
      </c>
      <c r="E68" s="117">
        <v>0</v>
      </c>
      <c r="F68" s="118" t="s">
        <v>161</v>
      </c>
      <c r="G68" s="124" t="s">
        <v>278</v>
      </c>
      <c r="H68" s="118" t="s">
        <v>85</v>
      </c>
      <c r="I68" s="272" t="s">
        <v>176</v>
      </c>
      <c r="J68" s="117">
        <v>2021</v>
      </c>
      <c r="K68" s="117">
        <v>11216</v>
      </c>
      <c r="L68" s="164">
        <v>531212</v>
      </c>
      <c r="M68" s="173" t="s">
        <v>279</v>
      </c>
      <c r="N68" s="121" t="s">
        <v>161</v>
      </c>
      <c r="O68" s="170">
        <v>398295</v>
      </c>
      <c r="P68" s="134">
        <v>198184</v>
      </c>
      <c r="Q68" s="134">
        <f t="shared" si="4"/>
        <v>104600.394</v>
      </c>
      <c r="R68" s="152"/>
      <c r="S68" s="134"/>
      <c r="T68" s="134">
        <v>5801.7</v>
      </c>
      <c r="U68" s="134">
        <v>13557.041999999999</v>
      </c>
      <c r="V68" s="134"/>
      <c r="W68" s="134">
        <v>1933.9</v>
      </c>
      <c r="X68" s="134">
        <v>1933.9</v>
      </c>
      <c r="Y68" s="134">
        <v>3867.8</v>
      </c>
      <c r="Z68" s="134">
        <v>56459.277999999998</v>
      </c>
      <c r="AA68" s="134">
        <v>21046.774000000001</v>
      </c>
      <c r="AB68" s="134"/>
      <c r="AC68" s="134"/>
    </row>
    <row r="69" spans="1:29" ht="24">
      <c r="A69" s="290">
        <v>30109787</v>
      </c>
      <c r="B69" s="135">
        <v>31</v>
      </c>
      <c r="C69" s="140" t="s">
        <v>29</v>
      </c>
      <c r="D69" s="123" t="s">
        <v>160</v>
      </c>
      <c r="E69" s="117">
        <v>0</v>
      </c>
      <c r="F69" s="171" t="s">
        <v>161</v>
      </c>
      <c r="G69" s="172" t="s">
        <v>280</v>
      </c>
      <c r="H69" s="251" t="s">
        <v>91</v>
      </c>
      <c r="I69" s="272" t="s">
        <v>176</v>
      </c>
      <c r="J69" s="117">
        <v>2017</v>
      </c>
      <c r="K69" s="117">
        <v>8952</v>
      </c>
      <c r="L69" s="164">
        <v>540887</v>
      </c>
      <c r="M69" s="118" t="s">
        <v>165</v>
      </c>
      <c r="N69" s="121" t="s">
        <v>238</v>
      </c>
      <c r="O69" s="170">
        <v>1</v>
      </c>
      <c r="P69" s="134"/>
      <c r="Q69" s="134">
        <f t="shared" si="4"/>
        <v>0</v>
      </c>
      <c r="R69" s="152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</row>
    <row r="70" spans="1:29" ht="36">
      <c r="A70" s="288">
        <v>30123699</v>
      </c>
      <c r="B70" s="123">
        <v>31</v>
      </c>
      <c r="C70" s="119" t="s">
        <v>29</v>
      </c>
      <c r="D70" s="123" t="s">
        <v>160</v>
      </c>
      <c r="E70" s="117">
        <v>0</v>
      </c>
      <c r="F70" s="118" t="s">
        <v>166</v>
      </c>
      <c r="G70" s="124" t="s">
        <v>281</v>
      </c>
      <c r="H70" s="118" t="s">
        <v>90</v>
      </c>
      <c r="I70" s="272" t="s">
        <v>173</v>
      </c>
      <c r="J70" s="117">
        <v>2020</v>
      </c>
      <c r="K70" s="117">
        <v>10766</v>
      </c>
      <c r="L70" s="164">
        <v>25086</v>
      </c>
      <c r="M70" s="118" t="s">
        <v>269</v>
      </c>
      <c r="N70" s="121" t="s">
        <v>161</v>
      </c>
      <c r="O70" s="170">
        <v>1</v>
      </c>
      <c r="P70" s="134">
        <v>7000</v>
      </c>
      <c r="Q70" s="134">
        <f t="shared" si="4"/>
        <v>6222</v>
      </c>
      <c r="R70" s="152"/>
      <c r="S70" s="134"/>
      <c r="T70" s="134"/>
      <c r="U70" s="134">
        <v>6222</v>
      </c>
      <c r="V70" s="134"/>
      <c r="W70" s="134"/>
      <c r="X70" s="134"/>
      <c r="Y70" s="134"/>
      <c r="Z70" s="134"/>
      <c r="AA70" s="134"/>
      <c r="AB70" s="134"/>
      <c r="AC70" s="134"/>
    </row>
    <row r="71" spans="1:29" ht="36">
      <c r="A71" s="288">
        <v>30109834</v>
      </c>
      <c r="B71" s="123">
        <v>31</v>
      </c>
      <c r="C71" s="119" t="s">
        <v>29</v>
      </c>
      <c r="D71" s="123" t="s">
        <v>160</v>
      </c>
      <c r="E71" s="117">
        <v>0</v>
      </c>
      <c r="F71" s="118" t="s">
        <v>161</v>
      </c>
      <c r="G71" s="124" t="s">
        <v>282</v>
      </c>
      <c r="H71" s="118" t="s">
        <v>91</v>
      </c>
      <c r="I71" s="272" t="s">
        <v>189</v>
      </c>
      <c r="J71" s="117">
        <v>2018</v>
      </c>
      <c r="K71" s="117">
        <v>9060</v>
      </c>
      <c r="L71" s="164">
        <v>2013612.024</v>
      </c>
      <c r="M71" s="118" t="s">
        <v>269</v>
      </c>
      <c r="N71" s="121" t="s">
        <v>161</v>
      </c>
      <c r="O71" s="170">
        <v>120120</v>
      </c>
      <c r="P71" s="134">
        <v>137323</v>
      </c>
      <c r="Q71" s="134">
        <f t="shared" si="4"/>
        <v>0</v>
      </c>
      <c r="R71" s="152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</row>
    <row r="72" spans="1:29" ht="36">
      <c r="A72" s="288">
        <v>30084699</v>
      </c>
      <c r="B72" s="123">
        <v>31</v>
      </c>
      <c r="C72" s="119" t="s">
        <v>29</v>
      </c>
      <c r="D72" s="123" t="s">
        <v>160</v>
      </c>
      <c r="E72" s="117">
        <v>0</v>
      </c>
      <c r="F72" s="118" t="s">
        <v>161</v>
      </c>
      <c r="G72" s="124" t="s">
        <v>283</v>
      </c>
      <c r="H72" s="118" t="s">
        <v>92</v>
      </c>
      <c r="I72" s="272" t="s">
        <v>189</v>
      </c>
      <c r="J72" s="117">
        <v>2014</v>
      </c>
      <c r="K72" s="117">
        <v>6456</v>
      </c>
      <c r="L72" s="164">
        <v>11688450.773</v>
      </c>
      <c r="M72" s="118" t="s">
        <v>269</v>
      </c>
      <c r="N72" s="121" t="s">
        <v>185</v>
      </c>
      <c r="O72" s="170">
        <v>80000</v>
      </c>
      <c r="P72" s="134">
        <v>553105</v>
      </c>
      <c r="Q72" s="134">
        <f t="shared" si="4"/>
        <v>0</v>
      </c>
      <c r="R72" s="152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</row>
    <row r="73" spans="1:29" ht="36">
      <c r="A73" s="288">
        <v>40004196</v>
      </c>
      <c r="B73" s="117">
        <v>31</v>
      </c>
      <c r="C73" s="119" t="s">
        <v>29</v>
      </c>
      <c r="D73" s="123" t="s">
        <v>160</v>
      </c>
      <c r="E73" s="117">
        <v>0</v>
      </c>
      <c r="F73" s="118" t="s">
        <v>161</v>
      </c>
      <c r="G73" s="124" t="s">
        <v>284</v>
      </c>
      <c r="H73" s="118" t="s">
        <v>91</v>
      </c>
      <c r="I73" s="272" t="s">
        <v>189</v>
      </c>
      <c r="J73" s="117">
        <v>2018</v>
      </c>
      <c r="K73" s="117">
        <v>9636</v>
      </c>
      <c r="L73" s="172">
        <v>3054307.4139999999</v>
      </c>
      <c r="M73" s="172" t="s">
        <v>165</v>
      </c>
      <c r="N73" s="121" t="s">
        <v>161</v>
      </c>
      <c r="O73" s="170">
        <v>48585</v>
      </c>
      <c r="P73" s="134">
        <v>925328</v>
      </c>
      <c r="Q73" s="134">
        <f t="shared" si="4"/>
        <v>816210.66399999999</v>
      </c>
      <c r="R73" s="152"/>
      <c r="S73" s="134"/>
      <c r="T73" s="134"/>
      <c r="U73" s="181"/>
      <c r="V73" s="134">
        <v>816210.66399999999</v>
      </c>
      <c r="W73" s="134"/>
      <c r="X73" s="134"/>
      <c r="Y73" s="134"/>
      <c r="Z73" s="134"/>
      <c r="AA73" s="134"/>
      <c r="AB73" s="134"/>
      <c r="AC73" s="134"/>
    </row>
    <row r="74" spans="1:29" ht="36">
      <c r="A74" s="288">
        <v>40004434</v>
      </c>
      <c r="B74" s="117">
        <v>31</v>
      </c>
      <c r="C74" s="119" t="s">
        <v>29</v>
      </c>
      <c r="D74" s="123" t="s">
        <v>160</v>
      </c>
      <c r="E74" s="117">
        <v>0</v>
      </c>
      <c r="F74" s="118" t="s">
        <v>161</v>
      </c>
      <c r="G74" s="124" t="s">
        <v>285</v>
      </c>
      <c r="H74" s="118" t="s">
        <v>91</v>
      </c>
      <c r="I74" s="272" t="s">
        <v>189</v>
      </c>
      <c r="J74" s="117">
        <v>2018</v>
      </c>
      <c r="K74" s="117">
        <v>9636</v>
      </c>
      <c r="L74" s="172">
        <v>3630780.4279999998</v>
      </c>
      <c r="M74" s="172" t="s">
        <v>165</v>
      </c>
      <c r="N74" s="121" t="s">
        <v>178</v>
      </c>
      <c r="O74" s="170">
        <v>18774</v>
      </c>
      <c r="P74" s="134">
        <v>906566</v>
      </c>
      <c r="Q74" s="134">
        <f t="shared" si="4"/>
        <v>1160</v>
      </c>
      <c r="R74" s="152"/>
      <c r="S74" s="134"/>
      <c r="T74" s="134">
        <v>1160</v>
      </c>
      <c r="U74" s="134"/>
      <c r="V74" s="134"/>
      <c r="W74" s="134"/>
      <c r="X74" s="134"/>
      <c r="Y74" s="134"/>
      <c r="Z74" s="134"/>
      <c r="AA74" s="134"/>
      <c r="AB74" s="134"/>
      <c r="AC74" s="134"/>
    </row>
    <row r="75" spans="1:29" ht="36">
      <c r="A75" s="288">
        <v>30007043</v>
      </c>
      <c r="B75" s="123">
        <v>31</v>
      </c>
      <c r="C75" s="119" t="s">
        <v>29</v>
      </c>
      <c r="D75" s="123" t="s">
        <v>160</v>
      </c>
      <c r="E75" s="117">
        <v>0</v>
      </c>
      <c r="F75" s="118" t="s">
        <v>161</v>
      </c>
      <c r="G75" s="124" t="s">
        <v>286</v>
      </c>
      <c r="H75" s="118" t="s">
        <v>90</v>
      </c>
      <c r="I75" s="272" t="s">
        <v>189</v>
      </c>
      <c r="J75" s="117">
        <v>2019</v>
      </c>
      <c r="K75" s="117">
        <v>10369</v>
      </c>
      <c r="L75" s="164">
        <v>2732706</v>
      </c>
      <c r="M75" s="118" t="s">
        <v>195</v>
      </c>
      <c r="N75" s="121" t="s">
        <v>287</v>
      </c>
      <c r="O75" s="170">
        <v>200000</v>
      </c>
      <c r="P75" s="134"/>
      <c r="Q75" s="134">
        <f t="shared" ref="Q75:Q98" si="5">SUM(R75:AC75)</f>
        <v>0</v>
      </c>
      <c r="R75" s="152"/>
      <c r="S75" s="134"/>
      <c r="T75" s="134"/>
      <c r="U75" s="181"/>
      <c r="V75" s="134"/>
      <c r="W75" s="134"/>
      <c r="X75" s="134"/>
      <c r="Y75" s="134"/>
      <c r="Z75" s="174"/>
      <c r="AA75" s="134"/>
      <c r="AB75" s="134"/>
      <c r="AC75" s="134"/>
    </row>
    <row r="76" spans="1:29" ht="36">
      <c r="A76" s="288">
        <v>30100599</v>
      </c>
      <c r="B76" s="123">
        <v>31</v>
      </c>
      <c r="C76" s="119" t="s">
        <v>29</v>
      </c>
      <c r="D76" s="123" t="s">
        <v>160</v>
      </c>
      <c r="E76" s="117">
        <v>0</v>
      </c>
      <c r="F76" s="118" t="s">
        <v>161</v>
      </c>
      <c r="G76" s="124" t="s">
        <v>288</v>
      </c>
      <c r="H76" s="118" t="s">
        <v>93</v>
      </c>
      <c r="I76" s="272" t="s">
        <v>189</v>
      </c>
      <c r="J76" s="117">
        <v>2017</v>
      </c>
      <c r="K76" s="117">
        <v>8952</v>
      </c>
      <c r="L76" s="164">
        <v>2316978</v>
      </c>
      <c r="M76" s="118" t="s">
        <v>190</v>
      </c>
      <c r="N76" s="121" t="s">
        <v>238</v>
      </c>
      <c r="O76" s="170">
        <v>1</v>
      </c>
      <c r="P76" s="134"/>
      <c r="Q76" s="134">
        <f t="shared" si="5"/>
        <v>0</v>
      </c>
      <c r="R76" s="152"/>
      <c r="S76" s="134"/>
      <c r="T76" s="134"/>
      <c r="U76" s="183"/>
      <c r="V76" s="134"/>
      <c r="W76" s="134"/>
      <c r="X76" s="134"/>
      <c r="Y76" s="134"/>
      <c r="Z76" s="134"/>
      <c r="AA76" s="134"/>
      <c r="AB76" s="134"/>
      <c r="AC76" s="134"/>
    </row>
    <row r="77" spans="1:29" ht="36">
      <c r="A77" s="288">
        <v>40015360</v>
      </c>
      <c r="B77" s="123">
        <v>31</v>
      </c>
      <c r="C77" s="119" t="s">
        <v>29</v>
      </c>
      <c r="D77" s="123" t="s">
        <v>160</v>
      </c>
      <c r="E77" s="117">
        <v>0</v>
      </c>
      <c r="F77" s="118" t="s">
        <v>161</v>
      </c>
      <c r="G77" s="124" t="s">
        <v>289</v>
      </c>
      <c r="H77" s="118" t="s">
        <v>99</v>
      </c>
      <c r="I77" s="272" t="s">
        <v>189</v>
      </c>
      <c r="J77" s="117">
        <v>2019</v>
      </c>
      <c r="K77" s="80">
        <v>10369</v>
      </c>
      <c r="L77" s="164">
        <v>1635434.077</v>
      </c>
      <c r="M77" s="124" t="s">
        <v>263</v>
      </c>
      <c r="N77" s="121" t="s">
        <v>161</v>
      </c>
      <c r="O77" s="170">
        <v>1</v>
      </c>
      <c r="P77" s="134">
        <v>199431</v>
      </c>
      <c r="Q77" s="134">
        <f t="shared" si="5"/>
        <v>127924.29300000001</v>
      </c>
      <c r="R77" s="152"/>
      <c r="S77" s="134"/>
      <c r="T77" s="134"/>
      <c r="U77" s="134">
        <v>127924.29300000001</v>
      </c>
      <c r="V77" s="134"/>
      <c r="W77" s="134"/>
      <c r="X77" s="134"/>
      <c r="Y77" s="134"/>
      <c r="Z77" s="134"/>
      <c r="AA77" s="134"/>
      <c r="AB77" s="134"/>
      <c r="AC77" s="134"/>
    </row>
    <row r="78" spans="1:29" ht="36">
      <c r="A78" s="288">
        <v>30460171</v>
      </c>
      <c r="B78" s="123">
        <v>31</v>
      </c>
      <c r="C78" s="119" t="s">
        <v>29</v>
      </c>
      <c r="D78" s="123" t="s">
        <v>160</v>
      </c>
      <c r="E78" s="117">
        <v>0</v>
      </c>
      <c r="F78" s="118" t="s">
        <v>161</v>
      </c>
      <c r="G78" s="124" t="s">
        <v>290</v>
      </c>
      <c r="H78" s="118" t="s">
        <v>98</v>
      </c>
      <c r="I78" s="272" t="s">
        <v>168</v>
      </c>
      <c r="J78" s="117">
        <v>2018</v>
      </c>
      <c r="K78" s="117">
        <v>9636</v>
      </c>
      <c r="L78" s="164">
        <v>653723.76199999999</v>
      </c>
      <c r="M78" s="118" t="s">
        <v>177</v>
      </c>
      <c r="N78" s="121" t="s">
        <v>203</v>
      </c>
      <c r="O78" s="170">
        <v>1</v>
      </c>
      <c r="P78" s="134"/>
      <c r="Q78" s="134">
        <f t="shared" si="5"/>
        <v>0</v>
      </c>
      <c r="R78" s="152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</row>
    <row r="79" spans="1:29" ht="36">
      <c r="A79" s="288">
        <v>30139823</v>
      </c>
      <c r="B79" s="123">
        <v>31</v>
      </c>
      <c r="C79" s="119" t="s">
        <v>29</v>
      </c>
      <c r="D79" s="123" t="s">
        <v>160</v>
      </c>
      <c r="E79" s="117">
        <v>0</v>
      </c>
      <c r="F79" s="118" t="s">
        <v>166</v>
      </c>
      <c r="G79" s="118" t="s">
        <v>291</v>
      </c>
      <c r="H79" s="118" t="s">
        <v>100</v>
      </c>
      <c r="I79" s="272" t="s">
        <v>173</v>
      </c>
      <c r="J79" s="117">
        <v>2018</v>
      </c>
      <c r="K79" s="117" t="s">
        <v>232</v>
      </c>
      <c r="L79" s="164">
        <v>26629</v>
      </c>
      <c r="M79" s="118" t="s">
        <v>233</v>
      </c>
      <c r="N79" s="121" t="s">
        <v>203</v>
      </c>
      <c r="O79" s="170"/>
      <c r="P79" s="134"/>
      <c r="Q79" s="134">
        <f t="shared" si="5"/>
        <v>0</v>
      </c>
      <c r="R79" s="152"/>
      <c r="S79" s="134"/>
      <c r="T79" s="134"/>
      <c r="U79" s="183"/>
      <c r="V79" s="134"/>
      <c r="W79" s="134"/>
      <c r="X79" s="134"/>
      <c r="Y79" s="134"/>
      <c r="Z79" s="174"/>
      <c r="AA79" s="134"/>
      <c r="AB79" s="134"/>
      <c r="AC79" s="134"/>
    </row>
    <row r="80" spans="1:29" ht="24">
      <c r="A80" s="288">
        <v>40016415</v>
      </c>
      <c r="B80" s="123">
        <v>31</v>
      </c>
      <c r="C80" s="119" t="s">
        <v>29</v>
      </c>
      <c r="D80" s="123" t="s">
        <v>160</v>
      </c>
      <c r="E80" s="117">
        <v>0</v>
      </c>
      <c r="F80" s="118" t="s">
        <v>161</v>
      </c>
      <c r="G80" s="124" t="s">
        <v>292</v>
      </c>
      <c r="H80" s="118" t="s">
        <v>99</v>
      </c>
      <c r="I80" s="272" t="s">
        <v>173</v>
      </c>
      <c r="J80" s="117">
        <v>2019</v>
      </c>
      <c r="K80" s="80">
        <v>10369</v>
      </c>
      <c r="L80" s="164">
        <v>627614.88800000004</v>
      </c>
      <c r="M80" s="124" t="s">
        <v>263</v>
      </c>
      <c r="N80" s="121" t="s">
        <v>161</v>
      </c>
      <c r="O80" s="170">
        <v>1</v>
      </c>
      <c r="P80" s="134">
        <v>166175</v>
      </c>
      <c r="Q80" s="134">
        <f t="shared" si="5"/>
        <v>102988.50900000002</v>
      </c>
      <c r="R80" s="152"/>
      <c r="S80" s="134"/>
      <c r="T80" s="134">
        <v>54181.953000000001</v>
      </c>
      <c r="U80" s="134"/>
      <c r="V80" s="134">
        <v>988.65200000000004</v>
      </c>
      <c r="W80" s="134">
        <v>544.65599999999995</v>
      </c>
      <c r="X80" s="134">
        <v>37851.957999999999</v>
      </c>
      <c r="Y80" s="134"/>
      <c r="Z80" s="134">
        <v>8102.8649999999998</v>
      </c>
      <c r="AA80" s="134">
        <v>1318.425</v>
      </c>
      <c r="AB80" s="134"/>
      <c r="AC80" s="134"/>
    </row>
    <row r="81" spans="1:29" ht="24">
      <c r="A81" s="288">
        <v>30479844</v>
      </c>
      <c r="B81" s="123">
        <v>31</v>
      </c>
      <c r="C81" s="119" t="s">
        <v>29</v>
      </c>
      <c r="D81" s="123" t="s">
        <v>160</v>
      </c>
      <c r="E81" s="117">
        <v>0</v>
      </c>
      <c r="F81" s="118" t="s">
        <v>166</v>
      </c>
      <c r="G81" s="124" t="s">
        <v>293</v>
      </c>
      <c r="H81" s="118" t="s">
        <v>100</v>
      </c>
      <c r="I81" s="272" t="s">
        <v>173</v>
      </c>
      <c r="J81" s="117">
        <v>2018</v>
      </c>
      <c r="K81" s="117" t="s">
        <v>294</v>
      </c>
      <c r="L81" s="164">
        <v>24554</v>
      </c>
      <c r="M81" s="118" t="s">
        <v>233</v>
      </c>
      <c r="N81" s="121" t="s">
        <v>203</v>
      </c>
      <c r="O81" s="170"/>
      <c r="P81" s="134"/>
      <c r="Q81" s="134">
        <f t="shared" si="5"/>
        <v>0</v>
      </c>
      <c r="R81" s="152"/>
      <c r="S81" s="134"/>
      <c r="T81" s="134"/>
      <c r="U81" s="183"/>
      <c r="V81" s="134"/>
      <c r="W81" s="134"/>
      <c r="X81" s="134"/>
      <c r="Y81" s="134"/>
      <c r="Z81" s="174"/>
      <c r="AA81" s="134"/>
      <c r="AB81" s="134"/>
      <c r="AC81" s="134"/>
    </row>
    <row r="82" spans="1:29" ht="24">
      <c r="A82" s="288">
        <v>30176022</v>
      </c>
      <c r="B82" s="123">
        <v>31</v>
      </c>
      <c r="C82" s="119" t="s">
        <v>29</v>
      </c>
      <c r="D82" s="123" t="s">
        <v>160</v>
      </c>
      <c r="E82" s="117">
        <v>0</v>
      </c>
      <c r="F82" s="118" t="s">
        <v>161</v>
      </c>
      <c r="G82" s="124" t="s">
        <v>295</v>
      </c>
      <c r="H82" s="118" t="s">
        <v>85</v>
      </c>
      <c r="I82" s="272" t="s">
        <v>173</v>
      </c>
      <c r="J82" s="117">
        <v>2019</v>
      </c>
      <c r="K82" s="117">
        <v>10023</v>
      </c>
      <c r="L82" s="164">
        <v>374541.78899999999</v>
      </c>
      <c r="M82" s="118" t="s">
        <v>199</v>
      </c>
      <c r="N82" s="121" t="s">
        <v>203</v>
      </c>
      <c r="O82" s="170">
        <v>1</v>
      </c>
      <c r="P82" s="134">
        <v>347918</v>
      </c>
      <c r="Q82" s="134">
        <f t="shared" si="5"/>
        <v>0</v>
      </c>
      <c r="R82" s="152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</row>
    <row r="83" spans="1:29" ht="24">
      <c r="A83" s="288">
        <v>30139872</v>
      </c>
      <c r="B83" s="123">
        <v>31</v>
      </c>
      <c r="C83" s="119" t="s">
        <v>29</v>
      </c>
      <c r="D83" s="123" t="s">
        <v>160</v>
      </c>
      <c r="E83" s="117">
        <v>0</v>
      </c>
      <c r="F83" s="118" t="s">
        <v>166</v>
      </c>
      <c r="G83" s="124" t="s">
        <v>296</v>
      </c>
      <c r="H83" s="118" t="s">
        <v>100</v>
      </c>
      <c r="I83" s="272" t="s">
        <v>173</v>
      </c>
      <c r="J83" s="117">
        <v>2018</v>
      </c>
      <c r="K83" s="117" t="s">
        <v>232</v>
      </c>
      <c r="L83" s="164">
        <v>23797</v>
      </c>
      <c r="M83" s="118" t="s">
        <v>233</v>
      </c>
      <c r="N83" s="121" t="s">
        <v>203</v>
      </c>
      <c r="O83" s="170"/>
      <c r="P83" s="134"/>
      <c r="Q83" s="134">
        <f t="shared" si="5"/>
        <v>0</v>
      </c>
      <c r="R83" s="152"/>
      <c r="S83" s="134"/>
      <c r="T83" s="134"/>
      <c r="U83" s="181"/>
      <c r="V83" s="134"/>
      <c r="W83" s="134"/>
      <c r="X83" s="134"/>
      <c r="Y83" s="134"/>
      <c r="Z83" s="174"/>
      <c r="AA83" s="134"/>
      <c r="AB83" s="134"/>
      <c r="AC83" s="134"/>
    </row>
    <row r="84" spans="1:29" ht="36">
      <c r="A84" s="288">
        <v>30149176</v>
      </c>
      <c r="B84" s="123">
        <v>31</v>
      </c>
      <c r="C84" s="119" t="s">
        <v>29</v>
      </c>
      <c r="D84" s="123" t="s">
        <v>160</v>
      </c>
      <c r="E84" s="117">
        <v>0</v>
      </c>
      <c r="F84" s="118" t="s">
        <v>161</v>
      </c>
      <c r="G84" s="124" t="s">
        <v>297</v>
      </c>
      <c r="H84" s="118" t="s">
        <v>103</v>
      </c>
      <c r="I84" s="272" t="s">
        <v>171</v>
      </c>
      <c r="J84" s="117">
        <v>2018</v>
      </c>
      <c r="K84" s="117" t="s">
        <v>298</v>
      </c>
      <c r="L84" s="164">
        <v>3412768.6348560001</v>
      </c>
      <c r="M84" s="118" t="s">
        <v>269</v>
      </c>
      <c r="N84" s="121" t="s">
        <v>161</v>
      </c>
      <c r="O84" s="170"/>
      <c r="P84" s="134">
        <v>120983</v>
      </c>
      <c r="Q84" s="134">
        <f t="shared" si="5"/>
        <v>8830.5479999999989</v>
      </c>
      <c r="R84" s="152"/>
      <c r="S84" s="134"/>
      <c r="T84" s="134">
        <v>399.9</v>
      </c>
      <c r="U84" s="134"/>
      <c r="V84" s="134">
        <v>8430.6479999999992</v>
      </c>
      <c r="W84" s="134"/>
      <c r="X84" s="134"/>
      <c r="Y84" s="134"/>
      <c r="Z84" s="134"/>
      <c r="AA84" s="134"/>
      <c r="AB84" s="134"/>
      <c r="AC84" s="134"/>
    </row>
    <row r="85" spans="1:29" ht="36">
      <c r="A85" s="288">
        <v>30081585</v>
      </c>
      <c r="B85" s="123">
        <v>31</v>
      </c>
      <c r="C85" s="119" t="s">
        <v>29</v>
      </c>
      <c r="D85" s="123" t="s">
        <v>160</v>
      </c>
      <c r="E85" s="117">
        <v>0</v>
      </c>
      <c r="F85" s="118" t="s">
        <v>161</v>
      </c>
      <c r="G85" s="124" t="s">
        <v>299</v>
      </c>
      <c r="H85" s="118" t="s">
        <v>92</v>
      </c>
      <c r="I85" s="272" t="s">
        <v>176</v>
      </c>
      <c r="J85" s="117">
        <v>2012</v>
      </c>
      <c r="K85" s="117">
        <v>5685</v>
      </c>
      <c r="L85" s="164">
        <v>1192603.074</v>
      </c>
      <c r="M85" s="118" t="s">
        <v>269</v>
      </c>
      <c r="N85" s="121" t="s">
        <v>161</v>
      </c>
      <c r="O85" s="170">
        <v>1</v>
      </c>
      <c r="P85" s="134">
        <v>81079</v>
      </c>
      <c r="Q85" s="134">
        <f t="shared" si="5"/>
        <v>14651.118999999999</v>
      </c>
      <c r="R85" s="152"/>
      <c r="S85" s="134"/>
      <c r="T85" s="134">
        <v>10831.308999999999</v>
      </c>
      <c r="U85" s="183"/>
      <c r="V85" s="134">
        <v>3819.81</v>
      </c>
      <c r="W85" s="134"/>
      <c r="X85" s="134"/>
      <c r="Y85" s="134"/>
      <c r="Z85" s="174"/>
      <c r="AA85" s="134"/>
      <c r="AB85" s="134"/>
      <c r="AC85" s="134"/>
    </row>
    <row r="86" spans="1:29" ht="36">
      <c r="A86" s="288">
        <v>30085388</v>
      </c>
      <c r="B86" s="123">
        <v>31</v>
      </c>
      <c r="C86" s="119" t="s">
        <v>29</v>
      </c>
      <c r="D86" s="123" t="s">
        <v>160</v>
      </c>
      <c r="E86" s="117">
        <v>0</v>
      </c>
      <c r="F86" s="118" t="s">
        <v>161</v>
      </c>
      <c r="G86" s="124" t="s">
        <v>300</v>
      </c>
      <c r="H86" s="118" t="s">
        <v>86</v>
      </c>
      <c r="I86" s="272" t="s">
        <v>301</v>
      </c>
      <c r="J86" s="117">
        <v>2018</v>
      </c>
      <c r="K86" s="117">
        <v>9060</v>
      </c>
      <c r="L86" s="164">
        <v>1309040.632</v>
      </c>
      <c r="M86" s="118" t="s">
        <v>269</v>
      </c>
      <c r="N86" s="121" t="s">
        <v>161</v>
      </c>
      <c r="O86" s="170">
        <v>2</v>
      </c>
      <c r="P86" s="134">
        <v>118265</v>
      </c>
      <c r="Q86" s="134">
        <f t="shared" si="5"/>
        <v>12538.98</v>
      </c>
      <c r="R86" s="152"/>
      <c r="S86" s="134"/>
      <c r="T86" s="134"/>
      <c r="U86" s="134"/>
      <c r="V86" s="134">
        <v>12538.98</v>
      </c>
      <c r="W86" s="134"/>
      <c r="X86" s="134"/>
      <c r="Y86" s="134"/>
      <c r="Z86" s="134"/>
      <c r="AA86" s="134"/>
      <c r="AB86" s="134"/>
      <c r="AC86" s="134"/>
    </row>
    <row r="87" spans="1:29" ht="36">
      <c r="A87" s="288">
        <v>30076274</v>
      </c>
      <c r="B87" s="123">
        <v>31</v>
      </c>
      <c r="C87" s="119" t="s">
        <v>29</v>
      </c>
      <c r="D87" s="123" t="s">
        <v>160</v>
      </c>
      <c r="E87" s="117">
        <v>0</v>
      </c>
      <c r="F87" s="118" t="s">
        <v>161</v>
      </c>
      <c r="G87" s="124" t="s">
        <v>302</v>
      </c>
      <c r="H87" s="118" t="s">
        <v>83</v>
      </c>
      <c r="I87" s="272" t="s">
        <v>189</v>
      </c>
      <c r="J87" s="117">
        <v>2014</v>
      </c>
      <c r="K87" s="117" t="s">
        <v>303</v>
      </c>
      <c r="L87" s="164">
        <v>1021396</v>
      </c>
      <c r="M87" s="118" t="s">
        <v>269</v>
      </c>
      <c r="N87" s="121" t="s">
        <v>161</v>
      </c>
      <c r="O87" s="170">
        <v>1</v>
      </c>
      <c r="P87" s="134">
        <v>187281</v>
      </c>
      <c r="Q87" s="134">
        <f t="shared" si="5"/>
        <v>86812.494000000006</v>
      </c>
      <c r="R87" s="152"/>
      <c r="S87" s="134"/>
      <c r="T87" s="134"/>
      <c r="U87" s="134"/>
      <c r="V87" s="134"/>
      <c r="W87" s="134"/>
      <c r="X87" s="134"/>
      <c r="Y87" s="134"/>
      <c r="Z87" s="134"/>
      <c r="AA87" s="134">
        <v>86812.494000000006</v>
      </c>
      <c r="AB87" s="134"/>
      <c r="AC87" s="134"/>
    </row>
    <row r="88" spans="1:29" ht="36">
      <c r="A88" s="288">
        <v>40009552</v>
      </c>
      <c r="B88" s="123">
        <v>31</v>
      </c>
      <c r="C88" s="119" t="s">
        <v>29</v>
      </c>
      <c r="D88" s="123" t="s">
        <v>160</v>
      </c>
      <c r="E88" s="117">
        <v>0</v>
      </c>
      <c r="F88" s="118" t="s">
        <v>161</v>
      </c>
      <c r="G88" s="124" t="s">
        <v>304</v>
      </c>
      <c r="H88" s="118" t="s">
        <v>87</v>
      </c>
      <c r="I88" s="272" t="s">
        <v>189</v>
      </c>
      <c r="J88" s="117">
        <v>2021</v>
      </c>
      <c r="K88" s="117">
        <v>11451</v>
      </c>
      <c r="L88" s="164">
        <v>426823.28600000002</v>
      </c>
      <c r="M88" s="118" t="s">
        <v>253</v>
      </c>
      <c r="N88" s="121" t="s">
        <v>161</v>
      </c>
      <c r="O88" s="170">
        <v>124279</v>
      </c>
      <c r="P88" s="134">
        <v>144371</v>
      </c>
      <c r="Q88" s="134">
        <f t="shared" si="5"/>
        <v>144370.087</v>
      </c>
      <c r="R88" s="152"/>
      <c r="S88" s="134"/>
      <c r="T88" s="134">
        <v>29563.798999999999</v>
      </c>
      <c r="U88" s="134">
        <v>114806.288</v>
      </c>
      <c r="V88" s="134"/>
      <c r="W88" s="134"/>
      <c r="X88" s="134"/>
      <c r="Y88" s="134"/>
      <c r="Z88" s="134"/>
      <c r="AA88" s="134"/>
      <c r="AB88" s="134"/>
      <c r="AC88" s="134"/>
    </row>
    <row r="89" spans="1:29" ht="48">
      <c r="A89" s="288">
        <v>30481521</v>
      </c>
      <c r="B89" s="123">
        <v>31</v>
      </c>
      <c r="C89" s="119" t="s">
        <v>29</v>
      </c>
      <c r="D89" s="123" t="s">
        <v>160</v>
      </c>
      <c r="E89" s="123">
        <v>0</v>
      </c>
      <c r="F89" s="118" t="s">
        <v>161</v>
      </c>
      <c r="G89" s="124" t="s">
        <v>305</v>
      </c>
      <c r="H89" s="118" t="s">
        <v>91</v>
      </c>
      <c r="I89" s="272" t="s">
        <v>189</v>
      </c>
      <c r="J89" s="117">
        <v>2022</v>
      </c>
      <c r="K89" s="117">
        <v>12493</v>
      </c>
      <c r="L89" s="172">
        <v>2669975.0499999998</v>
      </c>
      <c r="M89" s="118" t="s">
        <v>269</v>
      </c>
      <c r="N89" s="121" t="s">
        <v>306</v>
      </c>
      <c r="O89" s="170">
        <v>536646</v>
      </c>
      <c r="P89" s="134">
        <v>52538</v>
      </c>
      <c r="Q89" s="134">
        <f t="shared" si="5"/>
        <v>0</v>
      </c>
      <c r="R89" s="152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</row>
    <row r="90" spans="1:29" ht="36" customHeight="1">
      <c r="A90" s="123">
        <v>40049085</v>
      </c>
      <c r="B90" s="123">
        <v>24</v>
      </c>
      <c r="C90" s="119" t="s">
        <v>24</v>
      </c>
      <c r="D90" s="123" t="s">
        <v>307</v>
      </c>
      <c r="E90" s="321" t="s">
        <v>308</v>
      </c>
      <c r="F90" s="118" t="s">
        <v>161</v>
      </c>
      <c r="G90" s="124" t="s">
        <v>309</v>
      </c>
      <c r="H90" s="251" t="s">
        <v>103</v>
      </c>
      <c r="I90" s="272" t="s">
        <v>310</v>
      </c>
      <c r="J90" s="117">
        <v>2023</v>
      </c>
      <c r="K90" s="117">
        <v>12936</v>
      </c>
      <c r="L90" s="172">
        <v>1000000</v>
      </c>
      <c r="M90" s="173" t="s">
        <v>311</v>
      </c>
      <c r="N90" s="121" t="s">
        <v>238</v>
      </c>
      <c r="O90" s="170"/>
      <c r="P90" s="170"/>
      <c r="Q90" s="134">
        <f t="shared" si="5"/>
        <v>0</v>
      </c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</row>
    <row r="91" spans="1:29" ht="36">
      <c r="A91" s="290">
        <v>40026206</v>
      </c>
      <c r="B91" s="123">
        <v>33</v>
      </c>
      <c r="C91" s="119" t="s">
        <v>26</v>
      </c>
      <c r="D91" s="123" t="s">
        <v>312</v>
      </c>
      <c r="E91" s="322" t="s">
        <v>313</v>
      </c>
      <c r="F91" s="118" t="s">
        <v>161</v>
      </c>
      <c r="G91" s="124" t="s">
        <v>314</v>
      </c>
      <c r="H91" s="118" t="s">
        <v>103</v>
      </c>
      <c r="I91" s="272" t="s">
        <v>173</v>
      </c>
      <c r="J91" s="117">
        <v>2022</v>
      </c>
      <c r="K91" s="117">
        <v>11932</v>
      </c>
      <c r="L91" s="164">
        <v>466644</v>
      </c>
      <c r="M91" s="117" t="s">
        <v>315</v>
      </c>
      <c r="N91" s="121" t="s">
        <v>161</v>
      </c>
      <c r="O91" s="170"/>
      <c r="P91" s="134"/>
      <c r="Q91" s="134">
        <f t="shared" si="5"/>
        <v>0</v>
      </c>
      <c r="R91" s="152"/>
      <c r="S91" s="134"/>
      <c r="T91" s="134"/>
      <c r="U91" s="134"/>
      <c r="V91" s="134"/>
      <c r="W91" s="134"/>
      <c r="X91" s="134"/>
      <c r="Y91" s="170"/>
      <c r="Z91" s="134"/>
      <c r="AA91" s="134"/>
      <c r="AB91" s="134"/>
      <c r="AC91" s="170"/>
    </row>
    <row r="92" spans="1:29" ht="36">
      <c r="A92" s="288">
        <v>30100146</v>
      </c>
      <c r="B92" s="123">
        <v>33</v>
      </c>
      <c r="C92" s="119" t="s">
        <v>26</v>
      </c>
      <c r="D92" s="123" t="s">
        <v>312</v>
      </c>
      <c r="E92" s="117">
        <v>100</v>
      </c>
      <c r="F92" s="118" t="s">
        <v>161</v>
      </c>
      <c r="G92" s="124" t="s">
        <v>316</v>
      </c>
      <c r="H92" s="118" t="s">
        <v>87</v>
      </c>
      <c r="I92" s="272" t="s">
        <v>317</v>
      </c>
      <c r="J92" s="117">
        <v>2018</v>
      </c>
      <c r="K92" s="117">
        <v>9156</v>
      </c>
      <c r="L92" s="164">
        <v>3016924.84</v>
      </c>
      <c r="M92" s="118" t="s">
        <v>253</v>
      </c>
      <c r="N92" s="121" t="s">
        <v>161</v>
      </c>
      <c r="O92" s="134">
        <v>423399</v>
      </c>
      <c r="P92" s="134">
        <v>423399</v>
      </c>
      <c r="Q92" s="134">
        <f t="shared" si="5"/>
        <v>11246.964</v>
      </c>
      <c r="R92" s="152"/>
      <c r="S92" s="134">
        <v>1939.13</v>
      </c>
      <c r="T92" s="134">
        <v>3878.26</v>
      </c>
      <c r="U92" s="134">
        <v>1939.13</v>
      </c>
      <c r="V92" s="134">
        <v>3490.444</v>
      </c>
      <c r="W92" s="134"/>
      <c r="X92" s="134"/>
      <c r="Y92" s="170"/>
      <c r="Z92" s="170"/>
      <c r="AA92" s="170"/>
      <c r="AB92" s="134"/>
      <c r="AC92" s="134"/>
    </row>
    <row r="93" spans="1:29" ht="36">
      <c r="A93" s="288">
        <v>30100137</v>
      </c>
      <c r="B93" s="123">
        <v>33</v>
      </c>
      <c r="C93" s="119" t="s">
        <v>26</v>
      </c>
      <c r="D93" s="123" t="s">
        <v>312</v>
      </c>
      <c r="E93" s="117">
        <v>100</v>
      </c>
      <c r="F93" s="118" t="s">
        <v>161</v>
      </c>
      <c r="G93" s="124" t="s">
        <v>318</v>
      </c>
      <c r="H93" s="118" t="s">
        <v>85</v>
      </c>
      <c r="I93" s="272" t="s">
        <v>319</v>
      </c>
      <c r="J93" s="117">
        <v>2014</v>
      </c>
      <c r="K93" s="117">
        <v>6456</v>
      </c>
      <c r="L93" s="164">
        <v>8420785.6630000006</v>
      </c>
      <c r="M93" s="118" t="s">
        <v>279</v>
      </c>
      <c r="N93" s="121" t="s">
        <v>161</v>
      </c>
      <c r="O93" s="134">
        <v>43322</v>
      </c>
      <c r="P93" s="134">
        <v>43322</v>
      </c>
      <c r="Q93" s="134">
        <f t="shared" si="5"/>
        <v>19200</v>
      </c>
      <c r="R93" s="152"/>
      <c r="S93" s="134">
        <v>3000</v>
      </c>
      <c r="T93" s="134">
        <v>6000</v>
      </c>
      <c r="U93" s="170">
        <v>3000</v>
      </c>
      <c r="V93" s="134">
        <v>3000</v>
      </c>
      <c r="W93" s="134">
        <v>3000</v>
      </c>
      <c r="X93" s="134">
        <v>1200</v>
      </c>
      <c r="Y93" s="170"/>
      <c r="Z93" s="134"/>
      <c r="AA93" s="254"/>
      <c r="AB93" s="134"/>
      <c r="AC93" s="134"/>
    </row>
    <row r="94" spans="1:29" ht="36">
      <c r="A94" s="288">
        <v>30100128</v>
      </c>
      <c r="B94" s="123">
        <v>33</v>
      </c>
      <c r="C94" s="119" t="s">
        <v>26</v>
      </c>
      <c r="D94" s="123" t="s">
        <v>312</v>
      </c>
      <c r="E94" s="117">
        <v>100</v>
      </c>
      <c r="F94" s="118" t="s">
        <v>161</v>
      </c>
      <c r="G94" s="124" t="s">
        <v>320</v>
      </c>
      <c r="H94" s="118" t="s">
        <v>85</v>
      </c>
      <c r="I94" s="272" t="s">
        <v>219</v>
      </c>
      <c r="J94" s="117">
        <v>2018</v>
      </c>
      <c r="K94" s="117" t="s">
        <v>321</v>
      </c>
      <c r="L94" s="164">
        <v>3835347</v>
      </c>
      <c r="M94" s="118" t="s">
        <v>279</v>
      </c>
      <c r="N94" s="121" t="s">
        <v>161</v>
      </c>
      <c r="O94" s="134">
        <v>670094</v>
      </c>
      <c r="P94" s="134">
        <v>670094</v>
      </c>
      <c r="Q94" s="134">
        <f t="shared" si="5"/>
        <v>311255.02399999998</v>
      </c>
      <c r="R94" s="152"/>
      <c r="S94" s="134">
        <v>2800</v>
      </c>
      <c r="T94" s="134">
        <v>5600</v>
      </c>
      <c r="U94" s="134">
        <v>2800</v>
      </c>
      <c r="V94" s="134">
        <v>94505.490999999995</v>
      </c>
      <c r="W94" s="134">
        <v>2800</v>
      </c>
      <c r="X94" s="134">
        <v>2800</v>
      </c>
      <c r="Y94" s="170">
        <v>102907.662</v>
      </c>
      <c r="Z94" s="134"/>
      <c r="AA94" s="170">
        <v>97041.870999999999</v>
      </c>
      <c r="AB94" s="134"/>
      <c r="AC94" s="134"/>
    </row>
    <row r="95" spans="1:29" ht="36">
      <c r="A95" s="288">
        <v>30124552</v>
      </c>
      <c r="B95" s="123">
        <v>33</v>
      </c>
      <c r="C95" s="119" t="s">
        <v>26</v>
      </c>
      <c r="D95" s="123" t="s">
        <v>312</v>
      </c>
      <c r="E95" s="117">
        <v>100</v>
      </c>
      <c r="F95" s="118" t="s">
        <v>161</v>
      </c>
      <c r="G95" s="124" t="s">
        <v>322</v>
      </c>
      <c r="H95" s="118" t="s">
        <v>91</v>
      </c>
      <c r="I95" s="272" t="s">
        <v>219</v>
      </c>
      <c r="J95" s="117">
        <v>2018</v>
      </c>
      <c r="K95" s="117">
        <v>9636</v>
      </c>
      <c r="L95" s="164">
        <v>1380241.557</v>
      </c>
      <c r="M95" s="118" t="s">
        <v>165</v>
      </c>
      <c r="N95" s="121" t="s">
        <v>161</v>
      </c>
      <c r="O95" s="134">
        <v>637461</v>
      </c>
      <c r="P95" s="134">
        <v>637461</v>
      </c>
      <c r="Q95" s="134">
        <f t="shared" si="5"/>
        <v>145623.53400000001</v>
      </c>
      <c r="R95" s="152"/>
      <c r="S95" s="134"/>
      <c r="T95" s="134"/>
      <c r="U95" s="134">
        <v>145623.53400000001</v>
      </c>
      <c r="V95" s="134"/>
      <c r="W95" s="134"/>
      <c r="X95" s="134"/>
      <c r="Y95" s="170"/>
      <c r="Z95" s="170"/>
      <c r="AA95" s="134"/>
      <c r="AB95" s="134"/>
      <c r="AC95" s="134"/>
    </row>
    <row r="96" spans="1:29" ht="36">
      <c r="A96" s="289">
        <v>30483991</v>
      </c>
      <c r="B96" s="123">
        <v>33</v>
      </c>
      <c r="C96" s="119" t="s">
        <v>26</v>
      </c>
      <c r="D96" s="119" t="s">
        <v>312</v>
      </c>
      <c r="E96" s="117">
        <v>100</v>
      </c>
      <c r="F96" s="118" t="s">
        <v>161</v>
      </c>
      <c r="G96" s="272" t="s">
        <v>323</v>
      </c>
      <c r="H96" s="251" t="s">
        <v>93</v>
      </c>
      <c r="I96" s="118" t="s">
        <v>219</v>
      </c>
      <c r="J96" s="117">
        <v>2023</v>
      </c>
      <c r="K96" s="117">
        <v>13597</v>
      </c>
      <c r="L96" s="172">
        <v>8262760</v>
      </c>
      <c r="M96" s="118" t="s">
        <v>190</v>
      </c>
      <c r="N96" s="121" t="s">
        <v>325</v>
      </c>
      <c r="O96" s="170">
        <v>25000</v>
      </c>
      <c r="P96" s="170">
        <v>25000</v>
      </c>
      <c r="Q96" s="134">
        <f t="shared" si="5"/>
        <v>0</v>
      </c>
      <c r="R96" s="152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</row>
    <row r="97" spans="1:29" ht="36">
      <c r="A97" s="288">
        <v>30073803</v>
      </c>
      <c r="B97" s="123">
        <v>33</v>
      </c>
      <c r="C97" s="119" t="s">
        <v>26</v>
      </c>
      <c r="D97" s="123" t="s">
        <v>312</v>
      </c>
      <c r="E97" s="117">
        <v>100</v>
      </c>
      <c r="F97" s="118" t="s">
        <v>161</v>
      </c>
      <c r="G97" s="124" t="s">
        <v>326</v>
      </c>
      <c r="H97" s="118" t="s">
        <v>97</v>
      </c>
      <c r="I97" s="272" t="s">
        <v>317</v>
      </c>
      <c r="J97" s="117">
        <v>2017</v>
      </c>
      <c r="K97" s="117" t="s">
        <v>327</v>
      </c>
      <c r="L97" s="120">
        <v>2869930.42</v>
      </c>
      <c r="M97" s="118" t="s">
        <v>210</v>
      </c>
      <c r="N97" s="121" t="s">
        <v>161</v>
      </c>
      <c r="O97" s="134">
        <v>325724</v>
      </c>
      <c r="P97" s="134">
        <v>325724</v>
      </c>
      <c r="Q97" s="134">
        <f t="shared" si="5"/>
        <v>270953.04300000001</v>
      </c>
      <c r="R97" s="152"/>
      <c r="S97" s="134"/>
      <c r="T97" s="134"/>
      <c r="U97" s="170"/>
      <c r="V97" s="134"/>
      <c r="W97" s="134"/>
      <c r="X97" s="134"/>
      <c r="Y97" s="170">
        <v>270953.04300000001</v>
      </c>
      <c r="Z97" s="134"/>
      <c r="AA97" s="134"/>
      <c r="AB97" s="134"/>
      <c r="AC97" s="134"/>
    </row>
    <row r="98" spans="1:29" ht="24">
      <c r="A98" s="288">
        <v>30124512</v>
      </c>
      <c r="B98" s="123">
        <v>33</v>
      </c>
      <c r="C98" s="119" t="s">
        <v>26</v>
      </c>
      <c r="D98" s="123" t="s">
        <v>312</v>
      </c>
      <c r="E98" s="117">
        <v>100</v>
      </c>
      <c r="F98" s="118" t="s">
        <v>161</v>
      </c>
      <c r="G98" s="124" t="s">
        <v>328</v>
      </c>
      <c r="H98" s="118" t="s">
        <v>91</v>
      </c>
      <c r="I98" s="272" t="s">
        <v>319</v>
      </c>
      <c r="J98" s="117">
        <v>2013</v>
      </c>
      <c r="K98" s="117">
        <v>6198</v>
      </c>
      <c r="L98" s="164">
        <v>2029586</v>
      </c>
      <c r="M98" s="118" t="s">
        <v>165</v>
      </c>
      <c r="N98" s="121" t="s">
        <v>203</v>
      </c>
      <c r="O98" s="134"/>
      <c r="P98" s="134"/>
      <c r="Q98" s="134">
        <f t="shared" si="5"/>
        <v>0</v>
      </c>
      <c r="R98" s="152"/>
      <c r="S98" s="134"/>
      <c r="T98" s="134"/>
      <c r="U98" s="134"/>
      <c r="V98" s="134"/>
      <c r="W98" s="134"/>
      <c r="X98" s="134"/>
      <c r="Y98" s="170"/>
      <c r="Z98" s="174"/>
      <c r="AA98" s="134"/>
      <c r="AB98" s="134"/>
      <c r="AC98" s="134"/>
    </row>
    <row r="99" spans="1:29" ht="36">
      <c r="A99" s="289">
        <v>30098451</v>
      </c>
      <c r="B99" s="123">
        <v>33</v>
      </c>
      <c r="C99" s="119" t="s">
        <v>26</v>
      </c>
      <c r="D99" s="123" t="s">
        <v>312</v>
      </c>
      <c r="E99" s="117">
        <v>100</v>
      </c>
      <c r="F99" s="118" t="s">
        <v>161</v>
      </c>
      <c r="G99" s="272" t="s">
        <v>329</v>
      </c>
      <c r="H99" s="251" t="s">
        <v>100</v>
      </c>
      <c r="I99" s="118" t="s">
        <v>219</v>
      </c>
      <c r="J99" s="117">
        <v>2023</v>
      </c>
      <c r="K99" s="117">
        <v>13360</v>
      </c>
      <c r="L99" s="172">
        <v>6356875</v>
      </c>
      <c r="M99" s="118" t="s">
        <v>233</v>
      </c>
      <c r="N99" s="121" t="s">
        <v>325</v>
      </c>
      <c r="O99" s="170">
        <v>25000</v>
      </c>
      <c r="P99" s="170">
        <v>25000</v>
      </c>
      <c r="Q99" s="134">
        <f t="shared" ref="Q99:Q104" si="6">SUM(R99:AC99)</f>
        <v>0</v>
      </c>
      <c r="R99" s="152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</row>
    <row r="100" spans="1:29" ht="36">
      <c r="A100" s="288">
        <v>30078379</v>
      </c>
      <c r="B100" s="123">
        <v>33</v>
      </c>
      <c r="C100" s="119" t="s">
        <v>26</v>
      </c>
      <c r="D100" s="123" t="s">
        <v>312</v>
      </c>
      <c r="E100" s="117">
        <v>100</v>
      </c>
      <c r="F100" s="118" t="s">
        <v>161</v>
      </c>
      <c r="G100" s="124" t="s">
        <v>330</v>
      </c>
      <c r="H100" s="118" t="s">
        <v>86</v>
      </c>
      <c r="I100" s="272" t="s">
        <v>317</v>
      </c>
      <c r="J100" s="117">
        <v>2013</v>
      </c>
      <c r="K100" s="117">
        <v>6198</v>
      </c>
      <c r="L100" s="120">
        <v>5489030</v>
      </c>
      <c r="M100" s="124" t="s">
        <v>229</v>
      </c>
      <c r="N100" s="121" t="s">
        <v>203</v>
      </c>
      <c r="O100" s="134"/>
      <c r="P100" s="134"/>
      <c r="Q100" s="134">
        <f t="shared" si="6"/>
        <v>0</v>
      </c>
      <c r="R100" s="152"/>
      <c r="S100" s="134"/>
      <c r="T100" s="134"/>
      <c r="U100" s="170"/>
      <c r="V100" s="134"/>
      <c r="W100" s="134"/>
      <c r="X100" s="134"/>
      <c r="Y100" s="170"/>
      <c r="Z100" s="134"/>
      <c r="AA100" s="134"/>
      <c r="AB100" s="134"/>
      <c r="AC100" s="134"/>
    </row>
    <row r="101" spans="1:29" ht="36">
      <c r="A101" s="288">
        <v>40021790</v>
      </c>
      <c r="B101" s="123">
        <v>33</v>
      </c>
      <c r="C101" s="119" t="s">
        <v>26</v>
      </c>
      <c r="D101" s="123" t="s">
        <v>312</v>
      </c>
      <c r="E101" s="117">
        <v>100</v>
      </c>
      <c r="F101" s="118" t="s">
        <v>161</v>
      </c>
      <c r="G101" s="124" t="s">
        <v>331</v>
      </c>
      <c r="H101" s="118" t="s">
        <v>98</v>
      </c>
      <c r="I101" s="272" t="s">
        <v>219</v>
      </c>
      <c r="J101" s="117">
        <v>2021</v>
      </c>
      <c r="K101" s="117">
        <v>11216</v>
      </c>
      <c r="L101" s="164">
        <v>4444104</v>
      </c>
      <c r="M101" s="173" t="s">
        <v>177</v>
      </c>
      <c r="N101" s="121" t="s">
        <v>161</v>
      </c>
      <c r="O101" s="134">
        <v>850000</v>
      </c>
      <c r="P101" s="134">
        <v>850000</v>
      </c>
      <c r="Q101" s="134">
        <f t="shared" si="6"/>
        <v>726563.39199999999</v>
      </c>
      <c r="R101" s="152"/>
      <c r="S101" s="134"/>
      <c r="T101" s="134"/>
      <c r="U101" s="134">
        <v>111550.591</v>
      </c>
      <c r="V101" s="134"/>
      <c r="W101" s="134">
        <v>48703.595000000001</v>
      </c>
      <c r="X101" s="134">
        <v>151418.81200000001</v>
      </c>
      <c r="Y101" s="170">
        <v>151000.88399999999</v>
      </c>
      <c r="Z101" s="174">
        <v>1920</v>
      </c>
      <c r="AA101" s="134">
        <v>261969.51</v>
      </c>
      <c r="AB101" s="134"/>
      <c r="AC101" s="134"/>
    </row>
    <row r="102" spans="1:29" ht="36">
      <c r="A102" s="288">
        <v>30482920</v>
      </c>
      <c r="B102" s="123">
        <v>29</v>
      </c>
      <c r="C102" s="119" t="s">
        <v>26</v>
      </c>
      <c r="D102" s="123" t="s">
        <v>332</v>
      </c>
      <c r="E102" s="119">
        <v>108</v>
      </c>
      <c r="F102" s="118" t="s">
        <v>161</v>
      </c>
      <c r="G102" s="248" t="s">
        <v>333</v>
      </c>
      <c r="H102" s="118" t="s">
        <v>84</v>
      </c>
      <c r="I102" s="272" t="s">
        <v>163</v>
      </c>
      <c r="J102" s="117">
        <v>2018</v>
      </c>
      <c r="K102" s="117">
        <v>9636</v>
      </c>
      <c r="L102" s="164">
        <v>477891</v>
      </c>
      <c r="M102" s="118" t="s">
        <v>184</v>
      </c>
      <c r="N102" s="121" t="s">
        <v>178</v>
      </c>
      <c r="O102" s="170">
        <v>9665</v>
      </c>
      <c r="P102" s="134">
        <v>1000</v>
      </c>
      <c r="Q102" s="134">
        <f t="shared" si="6"/>
        <v>0</v>
      </c>
      <c r="R102" s="152"/>
      <c r="S102" s="134"/>
      <c r="T102" s="134"/>
      <c r="U102" s="183"/>
      <c r="V102" s="134"/>
      <c r="W102" s="134"/>
      <c r="X102" s="134"/>
      <c r="Y102" s="134"/>
      <c r="Z102" s="174"/>
      <c r="AA102" s="134"/>
      <c r="AB102" s="134"/>
      <c r="AC102" s="134"/>
    </row>
    <row r="103" spans="1:29" ht="36">
      <c r="A103" s="288">
        <v>40006964</v>
      </c>
      <c r="B103" s="123">
        <v>29</v>
      </c>
      <c r="C103" s="119" t="s">
        <v>26</v>
      </c>
      <c r="D103" s="123" t="s">
        <v>332</v>
      </c>
      <c r="E103" s="119">
        <v>110</v>
      </c>
      <c r="F103" s="118" t="s">
        <v>161</v>
      </c>
      <c r="G103" s="124" t="s">
        <v>334</v>
      </c>
      <c r="H103" s="118" t="s">
        <v>85</v>
      </c>
      <c r="I103" s="272" t="s">
        <v>310</v>
      </c>
      <c r="J103" s="117">
        <v>2018</v>
      </c>
      <c r="K103" s="117">
        <v>9636</v>
      </c>
      <c r="L103" s="164">
        <v>288124.18099999998</v>
      </c>
      <c r="M103" s="118" t="s">
        <v>335</v>
      </c>
      <c r="N103" s="121" t="s">
        <v>161</v>
      </c>
      <c r="O103" s="170">
        <v>128339</v>
      </c>
      <c r="P103" s="134">
        <v>166469</v>
      </c>
      <c r="Q103" s="134">
        <f t="shared" si="6"/>
        <v>166468.43</v>
      </c>
      <c r="R103" s="152"/>
      <c r="S103" s="134"/>
      <c r="T103" s="134"/>
      <c r="U103" s="181"/>
      <c r="V103" s="195">
        <v>166468.43</v>
      </c>
      <c r="W103" s="134"/>
      <c r="X103" s="134"/>
      <c r="Y103" s="134"/>
      <c r="Z103" s="174"/>
      <c r="AA103" s="134"/>
      <c r="AB103" s="134"/>
      <c r="AC103" s="134"/>
    </row>
    <row r="104" spans="1:29" ht="36">
      <c r="A104" s="288">
        <v>30483369</v>
      </c>
      <c r="B104" s="80">
        <v>29</v>
      </c>
      <c r="C104" s="119" t="s">
        <v>26</v>
      </c>
      <c r="D104" s="123" t="s">
        <v>332</v>
      </c>
      <c r="E104" s="119">
        <v>117</v>
      </c>
      <c r="F104" s="118" t="s">
        <v>161</v>
      </c>
      <c r="G104" s="124" t="s">
        <v>336</v>
      </c>
      <c r="H104" s="118" t="s">
        <v>91</v>
      </c>
      <c r="I104" s="272" t="s">
        <v>163</v>
      </c>
      <c r="J104" s="117">
        <v>2018</v>
      </c>
      <c r="K104" s="117">
        <v>9636</v>
      </c>
      <c r="L104" s="164">
        <v>457458</v>
      </c>
      <c r="M104" s="118" t="s">
        <v>165</v>
      </c>
      <c r="N104" s="121" t="s">
        <v>178</v>
      </c>
      <c r="O104" s="170">
        <v>17519</v>
      </c>
      <c r="P104" s="134">
        <v>1000</v>
      </c>
      <c r="Q104" s="134">
        <f t="shared" si="6"/>
        <v>0</v>
      </c>
      <c r="R104" s="152"/>
      <c r="S104" s="134"/>
      <c r="T104" s="134"/>
      <c r="U104" s="181"/>
      <c r="V104" s="134"/>
      <c r="W104" s="134"/>
      <c r="X104" s="134"/>
      <c r="Y104" s="134"/>
      <c r="Z104" s="174"/>
      <c r="AA104" s="134"/>
      <c r="AB104" s="134"/>
      <c r="AC104" s="134"/>
    </row>
    <row r="105" spans="1:29" ht="36">
      <c r="A105" s="288">
        <v>40010138</v>
      </c>
      <c r="B105" s="123">
        <v>29</v>
      </c>
      <c r="C105" s="119" t="s">
        <v>26</v>
      </c>
      <c r="D105" s="123" t="s">
        <v>332</v>
      </c>
      <c r="E105" s="117">
        <v>136</v>
      </c>
      <c r="F105" s="118" t="s">
        <v>161</v>
      </c>
      <c r="G105" s="124" t="s">
        <v>337</v>
      </c>
      <c r="H105" s="118" t="s">
        <v>91</v>
      </c>
      <c r="I105" s="272" t="s">
        <v>310</v>
      </c>
      <c r="J105" s="117">
        <v>2021</v>
      </c>
      <c r="K105" s="117">
        <v>11619</v>
      </c>
      <c r="L105" s="164">
        <v>148895</v>
      </c>
      <c r="M105" s="173" t="s">
        <v>165</v>
      </c>
      <c r="N105" s="121" t="s">
        <v>192</v>
      </c>
      <c r="O105" s="170">
        <v>18895</v>
      </c>
      <c r="P105" s="134">
        <v>1000</v>
      </c>
      <c r="Q105" s="134">
        <f t="shared" ref="Q105:Q140" si="7">SUM(R105:AC105)</f>
        <v>0</v>
      </c>
      <c r="R105" s="152"/>
      <c r="S105" s="134"/>
      <c r="T105" s="134"/>
      <c r="U105" s="181"/>
      <c r="V105" s="134"/>
      <c r="W105" s="134"/>
      <c r="X105" s="134"/>
      <c r="Y105" s="134"/>
      <c r="Z105" s="174"/>
      <c r="AA105" s="134"/>
      <c r="AB105" s="134"/>
      <c r="AC105" s="134"/>
    </row>
    <row r="106" spans="1:29" ht="36">
      <c r="A106" s="288">
        <v>40021574</v>
      </c>
      <c r="B106" s="123">
        <v>29</v>
      </c>
      <c r="C106" s="119" t="s">
        <v>26</v>
      </c>
      <c r="D106" s="123" t="s">
        <v>332</v>
      </c>
      <c r="E106" s="117">
        <v>137</v>
      </c>
      <c r="F106" s="118" t="s">
        <v>161</v>
      </c>
      <c r="G106" s="124" t="s">
        <v>338</v>
      </c>
      <c r="H106" s="118" t="s">
        <v>82</v>
      </c>
      <c r="I106" s="272" t="s">
        <v>310</v>
      </c>
      <c r="J106" s="117">
        <v>2021</v>
      </c>
      <c r="K106" s="117">
        <v>11619</v>
      </c>
      <c r="L106" s="164">
        <v>204199</v>
      </c>
      <c r="M106" s="173" t="s">
        <v>169</v>
      </c>
      <c r="N106" s="121" t="s">
        <v>178</v>
      </c>
      <c r="O106" s="170">
        <v>192097</v>
      </c>
      <c r="P106" s="134">
        <v>21134</v>
      </c>
      <c r="Q106" s="134">
        <f t="shared" si="7"/>
        <v>0</v>
      </c>
      <c r="R106" s="152"/>
      <c r="S106" s="134"/>
      <c r="T106" s="134"/>
      <c r="U106" s="181"/>
      <c r="V106" s="134"/>
      <c r="W106" s="134"/>
      <c r="X106" s="134"/>
      <c r="Y106" s="134"/>
      <c r="Z106" s="174"/>
      <c r="AA106" s="134"/>
      <c r="AB106" s="134"/>
      <c r="AC106" s="134"/>
    </row>
    <row r="107" spans="1:29" ht="36">
      <c r="A107" s="288">
        <v>40020182</v>
      </c>
      <c r="B107" s="117">
        <v>29</v>
      </c>
      <c r="C107" s="119" t="s">
        <v>26</v>
      </c>
      <c r="D107" s="123" t="s">
        <v>332</v>
      </c>
      <c r="E107" s="117">
        <v>138</v>
      </c>
      <c r="F107" s="118" t="s">
        <v>161</v>
      </c>
      <c r="G107" s="124" t="s">
        <v>339</v>
      </c>
      <c r="H107" s="118" t="s">
        <v>84</v>
      </c>
      <c r="I107" s="272" t="s">
        <v>173</v>
      </c>
      <c r="J107" s="117">
        <v>2020</v>
      </c>
      <c r="K107" s="117">
        <v>10686</v>
      </c>
      <c r="L107" s="164">
        <v>146227</v>
      </c>
      <c r="M107" s="173" t="s">
        <v>340</v>
      </c>
      <c r="N107" s="121" t="s">
        <v>192</v>
      </c>
      <c r="O107" s="170">
        <v>79714</v>
      </c>
      <c r="P107" s="134"/>
      <c r="Q107" s="134">
        <f t="shared" si="7"/>
        <v>0</v>
      </c>
      <c r="R107" s="152"/>
      <c r="S107" s="134"/>
      <c r="T107" s="134"/>
      <c r="U107" s="134"/>
      <c r="V107" s="134"/>
      <c r="W107" s="134"/>
      <c r="X107" s="134"/>
      <c r="Y107" s="134"/>
      <c r="Z107" s="174"/>
      <c r="AA107" s="134"/>
      <c r="AB107" s="134"/>
      <c r="AC107" s="134"/>
    </row>
    <row r="108" spans="1:29" ht="36">
      <c r="A108" s="288">
        <v>40016076</v>
      </c>
      <c r="B108" s="117">
        <v>29</v>
      </c>
      <c r="C108" s="119" t="s">
        <v>26</v>
      </c>
      <c r="D108" s="123" t="s">
        <v>332</v>
      </c>
      <c r="E108" s="117">
        <v>139</v>
      </c>
      <c r="F108" s="118" t="s">
        <v>161</v>
      </c>
      <c r="G108" s="124" t="s">
        <v>341</v>
      </c>
      <c r="H108" s="118" t="s">
        <v>100</v>
      </c>
      <c r="I108" s="272" t="s">
        <v>173</v>
      </c>
      <c r="J108" s="117">
        <v>2019</v>
      </c>
      <c r="K108" s="117">
        <v>10341</v>
      </c>
      <c r="L108" s="164">
        <v>159937</v>
      </c>
      <c r="M108" s="173" t="s">
        <v>340</v>
      </c>
      <c r="N108" s="121" t="s">
        <v>192</v>
      </c>
      <c r="O108" s="170">
        <v>159937</v>
      </c>
      <c r="P108" s="134"/>
      <c r="Q108" s="134">
        <f t="shared" si="7"/>
        <v>0</v>
      </c>
      <c r="R108" s="152"/>
      <c r="S108" s="134"/>
      <c r="T108" s="134"/>
      <c r="U108" s="134"/>
      <c r="V108" s="134"/>
      <c r="W108" s="134"/>
      <c r="X108" s="134"/>
      <c r="Y108" s="134"/>
      <c r="Z108" s="174"/>
      <c r="AA108" s="134"/>
      <c r="AB108" s="134"/>
      <c r="AC108" s="134"/>
    </row>
    <row r="109" spans="1:29" ht="36">
      <c r="A109" s="288">
        <v>40017780</v>
      </c>
      <c r="B109" s="117">
        <v>29</v>
      </c>
      <c r="C109" s="119" t="s">
        <v>26</v>
      </c>
      <c r="D109" s="123" t="s">
        <v>332</v>
      </c>
      <c r="E109" s="117">
        <v>140</v>
      </c>
      <c r="F109" s="118" t="s">
        <v>161</v>
      </c>
      <c r="G109" s="124" t="s">
        <v>342</v>
      </c>
      <c r="H109" s="118" t="s">
        <v>93</v>
      </c>
      <c r="I109" s="272" t="s">
        <v>173</v>
      </c>
      <c r="J109" s="117">
        <v>2020</v>
      </c>
      <c r="K109" s="117">
        <v>10686</v>
      </c>
      <c r="L109" s="164">
        <v>313017</v>
      </c>
      <c r="M109" s="173" t="s">
        <v>340</v>
      </c>
      <c r="N109" s="121" t="s">
        <v>192</v>
      </c>
      <c r="O109" s="170">
        <v>253843</v>
      </c>
      <c r="P109" s="134">
        <v>1000</v>
      </c>
      <c r="Q109" s="134">
        <f t="shared" si="7"/>
        <v>0</v>
      </c>
      <c r="R109" s="152"/>
      <c r="S109" s="134"/>
      <c r="T109" s="134"/>
      <c r="U109" s="134"/>
      <c r="V109" s="134"/>
      <c r="W109" s="134"/>
      <c r="X109" s="134"/>
      <c r="Y109" s="134"/>
      <c r="Z109" s="174"/>
      <c r="AA109" s="134"/>
      <c r="AB109" s="134"/>
      <c r="AC109" s="134"/>
    </row>
    <row r="110" spans="1:29" ht="36">
      <c r="A110" s="288">
        <v>40026732</v>
      </c>
      <c r="B110" s="117">
        <v>29</v>
      </c>
      <c r="C110" s="119" t="s">
        <v>26</v>
      </c>
      <c r="D110" s="123" t="s">
        <v>332</v>
      </c>
      <c r="E110" s="117">
        <v>141</v>
      </c>
      <c r="F110" s="118" t="s">
        <v>161</v>
      </c>
      <c r="G110" s="124" t="s">
        <v>343</v>
      </c>
      <c r="H110" s="118" t="s">
        <v>92</v>
      </c>
      <c r="I110" s="272" t="s">
        <v>173</v>
      </c>
      <c r="J110" s="117">
        <v>2022</v>
      </c>
      <c r="K110" s="117">
        <v>11932</v>
      </c>
      <c r="L110" s="164">
        <v>361201</v>
      </c>
      <c r="M110" s="173" t="s">
        <v>340</v>
      </c>
      <c r="N110" s="121" t="s">
        <v>178</v>
      </c>
      <c r="O110" s="170">
        <v>179580</v>
      </c>
      <c r="P110" s="134">
        <v>1000</v>
      </c>
      <c r="Q110" s="134">
        <f t="shared" si="7"/>
        <v>0</v>
      </c>
      <c r="R110" s="152"/>
      <c r="S110" s="134"/>
      <c r="T110" s="134"/>
      <c r="U110" s="134"/>
      <c r="V110" s="134"/>
      <c r="W110" s="134"/>
      <c r="X110" s="134"/>
      <c r="Y110" s="134"/>
      <c r="Z110" s="174"/>
      <c r="AA110" s="134"/>
      <c r="AB110" s="134"/>
      <c r="AC110" s="134"/>
    </row>
    <row r="111" spans="1:29" ht="36">
      <c r="A111" s="288">
        <v>40026735</v>
      </c>
      <c r="B111" s="117">
        <v>29</v>
      </c>
      <c r="C111" s="119" t="s">
        <v>26</v>
      </c>
      <c r="D111" s="123" t="s">
        <v>332</v>
      </c>
      <c r="E111" s="117">
        <v>142</v>
      </c>
      <c r="F111" s="118" t="s">
        <v>161</v>
      </c>
      <c r="G111" s="124" t="s">
        <v>344</v>
      </c>
      <c r="H111" s="118" t="s">
        <v>99</v>
      </c>
      <c r="I111" s="272" t="s">
        <v>173</v>
      </c>
      <c r="J111" s="117">
        <v>2022</v>
      </c>
      <c r="K111" s="117">
        <v>11932</v>
      </c>
      <c r="L111" s="164">
        <v>202674</v>
      </c>
      <c r="M111" s="173" t="s">
        <v>340</v>
      </c>
      <c r="N111" s="121" t="s">
        <v>192</v>
      </c>
      <c r="O111" s="170">
        <v>182627</v>
      </c>
      <c r="P111" s="134"/>
      <c r="Q111" s="134">
        <f t="shared" si="7"/>
        <v>0</v>
      </c>
      <c r="R111" s="152"/>
      <c r="S111" s="134"/>
      <c r="T111" s="134"/>
      <c r="U111" s="134"/>
      <c r="V111" s="134"/>
      <c r="W111" s="134"/>
      <c r="X111" s="134"/>
      <c r="Y111" s="134"/>
      <c r="Z111" s="174"/>
      <c r="AA111" s="134"/>
      <c r="AB111" s="134"/>
      <c r="AC111" s="134"/>
    </row>
    <row r="112" spans="1:29" ht="24">
      <c r="A112" s="288">
        <v>40015246</v>
      </c>
      <c r="B112" s="123">
        <v>29</v>
      </c>
      <c r="C112" s="119" t="s">
        <v>26</v>
      </c>
      <c r="D112" s="123" t="s">
        <v>332</v>
      </c>
      <c r="E112" s="123">
        <v>146</v>
      </c>
      <c r="F112" s="118" t="s">
        <v>161</v>
      </c>
      <c r="G112" s="124" t="s">
        <v>345</v>
      </c>
      <c r="H112" s="118" t="s">
        <v>94</v>
      </c>
      <c r="I112" s="272" t="s">
        <v>163</v>
      </c>
      <c r="J112" s="117">
        <v>2020</v>
      </c>
      <c r="K112" s="117">
        <v>10766</v>
      </c>
      <c r="L112" s="164">
        <v>150535</v>
      </c>
      <c r="M112" s="285" t="s">
        <v>256</v>
      </c>
      <c r="N112" s="121" t="s">
        <v>161</v>
      </c>
      <c r="O112" s="170"/>
      <c r="P112" s="134"/>
      <c r="Q112" s="134">
        <f t="shared" si="7"/>
        <v>0</v>
      </c>
      <c r="R112" s="152"/>
      <c r="S112" s="134"/>
      <c r="T112" s="134"/>
      <c r="U112" s="181"/>
      <c r="V112" s="134"/>
      <c r="W112" s="134"/>
      <c r="X112" s="134"/>
      <c r="Y112" s="134"/>
      <c r="Z112" s="174"/>
      <c r="AA112" s="134"/>
      <c r="AB112" s="134"/>
      <c r="AC112" s="134"/>
    </row>
    <row r="113" spans="1:29" ht="36">
      <c r="A113" s="288">
        <v>40010799</v>
      </c>
      <c r="B113" s="135">
        <v>33</v>
      </c>
      <c r="C113" s="140" t="s">
        <v>26</v>
      </c>
      <c r="D113" s="135">
        <v>33</v>
      </c>
      <c r="E113" s="117">
        <v>148</v>
      </c>
      <c r="F113" s="118" t="s">
        <v>161</v>
      </c>
      <c r="G113" s="124" t="s">
        <v>346</v>
      </c>
      <c r="H113" s="118" t="s">
        <v>103</v>
      </c>
      <c r="I113" s="272" t="s">
        <v>347</v>
      </c>
      <c r="J113" s="117">
        <v>2018</v>
      </c>
      <c r="K113" s="117">
        <v>9878</v>
      </c>
      <c r="L113" s="164">
        <v>4140000</v>
      </c>
      <c r="M113" s="118" t="s">
        <v>348</v>
      </c>
      <c r="N113" s="121" t="s">
        <v>161</v>
      </c>
      <c r="O113" s="170">
        <v>47160</v>
      </c>
      <c r="P113" s="134"/>
      <c r="Q113" s="134">
        <f t="shared" si="7"/>
        <v>0</v>
      </c>
      <c r="R113" s="152"/>
      <c r="S113" s="134"/>
      <c r="T113" s="134"/>
      <c r="U113" s="134"/>
      <c r="V113" s="134"/>
      <c r="W113" s="134"/>
      <c r="X113" s="134"/>
      <c r="Y113" s="170"/>
      <c r="Z113" s="134"/>
      <c r="AA113" s="134"/>
      <c r="AB113" s="134"/>
      <c r="AC113" s="134"/>
    </row>
    <row r="114" spans="1:29" ht="24">
      <c r="A114" s="288">
        <v>40045071</v>
      </c>
      <c r="B114" s="123">
        <v>29</v>
      </c>
      <c r="C114" s="119" t="s">
        <v>26</v>
      </c>
      <c r="D114" s="123" t="s">
        <v>332</v>
      </c>
      <c r="E114" s="260">
        <v>150</v>
      </c>
      <c r="F114" s="118" t="s">
        <v>161</v>
      </c>
      <c r="G114" s="124" t="s">
        <v>349</v>
      </c>
      <c r="H114" s="118" t="s">
        <v>97</v>
      </c>
      <c r="I114" s="272" t="s">
        <v>163</v>
      </c>
      <c r="J114" s="117">
        <v>2022</v>
      </c>
      <c r="K114" s="117">
        <v>12493</v>
      </c>
      <c r="L114" s="164">
        <v>126441</v>
      </c>
      <c r="M114" s="118" t="s">
        <v>210</v>
      </c>
      <c r="N114" s="121" t="s">
        <v>185</v>
      </c>
      <c r="O114" s="170">
        <v>126441</v>
      </c>
      <c r="P114" s="170">
        <v>1000</v>
      </c>
      <c r="Q114" s="134">
        <f t="shared" si="7"/>
        <v>0</v>
      </c>
      <c r="R114" s="152"/>
      <c r="S114" s="134"/>
      <c r="T114" s="134"/>
      <c r="U114" s="181"/>
      <c r="V114" s="195"/>
      <c r="W114" s="134"/>
      <c r="X114" s="134"/>
      <c r="Y114" s="134"/>
      <c r="Z114" s="174"/>
      <c r="AA114" s="134"/>
      <c r="AB114" s="134"/>
      <c r="AC114" s="134"/>
    </row>
    <row r="115" spans="1:29" ht="24">
      <c r="A115" s="288">
        <v>40045197</v>
      </c>
      <c r="B115" s="123">
        <v>29</v>
      </c>
      <c r="C115" s="119" t="s">
        <v>26</v>
      </c>
      <c r="D115" s="123" t="s">
        <v>332</v>
      </c>
      <c r="E115" s="260">
        <v>151</v>
      </c>
      <c r="F115" s="118" t="s">
        <v>161</v>
      </c>
      <c r="G115" s="124" t="s">
        <v>350</v>
      </c>
      <c r="H115" s="118" t="s">
        <v>94</v>
      </c>
      <c r="I115" s="272" t="s">
        <v>163</v>
      </c>
      <c r="J115" s="117">
        <v>2022</v>
      </c>
      <c r="K115" s="117">
        <v>12493</v>
      </c>
      <c r="L115" s="164">
        <v>167554</v>
      </c>
      <c r="M115" s="118" t="s">
        <v>210</v>
      </c>
      <c r="N115" s="121" t="s">
        <v>161</v>
      </c>
      <c r="O115" s="170"/>
      <c r="P115" s="170"/>
      <c r="Q115" s="134">
        <f t="shared" si="7"/>
        <v>0</v>
      </c>
      <c r="R115" s="152"/>
      <c r="S115" s="134"/>
      <c r="T115" s="134"/>
      <c r="U115" s="181"/>
      <c r="V115" s="195"/>
      <c r="W115" s="134"/>
      <c r="X115" s="134"/>
      <c r="Y115" s="134"/>
      <c r="Z115" s="174"/>
      <c r="AA115" s="134"/>
      <c r="AB115" s="134"/>
      <c r="AC115" s="134"/>
    </row>
    <row r="116" spans="1:29" ht="24">
      <c r="A116" s="288">
        <v>40009553</v>
      </c>
      <c r="B116" s="123">
        <v>29</v>
      </c>
      <c r="C116" s="119" t="s">
        <v>26</v>
      </c>
      <c r="D116" s="123" t="s">
        <v>332</v>
      </c>
      <c r="E116" s="260">
        <v>152</v>
      </c>
      <c r="F116" s="118" t="s">
        <v>161</v>
      </c>
      <c r="G116" s="124" t="s">
        <v>351</v>
      </c>
      <c r="H116" s="118" t="s">
        <v>87</v>
      </c>
      <c r="I116" s="272" t="s">
        <v>163</v>
      </c>
      <c r="J116" s="117">
        <v>2022</v>
      </c>
      <c r="K116" s="117">
        <v>12493</v>
      </c>
      <c r="L116" s="164">
        <v>597049</v>
      </c>
      <c r="M116" s="118" t="s">
        <v>253</v>
      </c>
      <c r="N116" s="121" t="s">
        <v>178</v>
      </c>
      <c r="O116" s="170"/>
      <c r="P116" s="134">
        <v>143200</v>
      </c>
      <c r="Q116" s="134">
        <f t="shared" si="7"/>
        <v>24990</v>
      </c>
      <c r="R116" s="152"/>
      <c r="S116" s="134"/>
      <c r="T116" s="134"/>
      <c r="U116" s="134">
        <v>24990</v>
      </c>
      <c r="V116" s="195"/>
      <c r="W116" s="134"/>
      <c r="X116" s="134"/>
      <c r="Y116" s="134"/>
      <c r="Z116" s="174"/>
      <c r="AA116" s="134"/>
      <c r="AB116" s="134"/>
      <c r="AC116" s="134"/>
    </row>
    <row r="117" spans="1:29" ht="24">
      <c r="A117" s="288">
        <v>40041244</v>
      </c>
      <c r="B117" s="123">
        <v>29</v>
      </c>
      <c r="C117" s="119" t="s">
        <v>26</v>
      </c>
      <c r="D117" s="123" t="s">
        <v>332</v>
      </c>
      <c r="E117" s="260">
        <v>153</v>
      </c>
      <c r="F117" s="118" t="s">
        <v>161</v>
      </c>
      <c r="G117" s="124" t="s">
        <v>352</v>
      </c>
      <c r="H117" s="118" t="s">
        <v>99</v>
      </c>
      <c r="I117" s="272" t="s">
        <v>163</v>
      </c>
      <c r="J117" s="117">
        <v>2022</v>
      </c>
      <c r="K117" s="117">
        <v>12493</v>
      </c>
      <c r="L117" s="164">
        <v>244435</v>
      </c>
      <c r="M117" s="118" t="s">
        <v>263</v>
      </c>
      <c r="N117" s="121" t="s">
        <v>258</v>
      </c>
      <c r="O117" s="170"/>
      <c r="P117" s="170"/>
      <c r="Q117" s="134">
        <f t="shared" si="7"/>
        <v>0</v>
      </c>
      <c r="R117" s="152"/>
      <c r="S117" s="134"/>
      <c r="T117" s="134"/>
      <c r="U117" s="181"/>
      <c r="V117" s="195"/>
      <c r="W117" s="134"/>
      <c r="X117" s="134"/>
      <c r="Y117" s="134"/>
      <c r="Z117" s="307"/>
      <c r="AA117" s="134"/>
      <c r="AB117" s="134"/>
      <c r="AC117" s="134"/>
    </row>
    <row r="118" spans="1:29" ht="24">
      <c r="A118" s="288">
        <v>40031857</v>
      </c>
      <c r="B118" s="123">
        <v>29</v>
      </c>
      <c r="C118" s="119" t="s">
        <v>26</v>
      </c>
      <c r="D118" s="123" t="s">
        <v>332</v>
      </c>
      <c r="E118" s="260">
        <v>154</v>
      </c>
      <c r="F118" s="118" t="s">
        <v>161</v>
      </c>
      <c r="G118" s="124" t="s">
        <v>353</v>
      </c>
      <c r="H118" s="118" t="s">
        <v>83</v>
      </c>
      <c r="I118" s="272" t="s">
        <v>163</v>
      </c>
      <c r="J118" s="117">
        <v>2022</v>
      </c>
      <c r="K118" s="117">
        <v>12493</v>
      </c>
      <c r="L118" s="164">
        <v>437824</v>
      </c>
      <c r="M118" s="118" t="s">
        <v>324</v>
      </c>
      <c r="N118" s="121" t="s">
        <v>354</v>
      </c>
      <c r="O118" s="170">
        <v>7824</v>
      </c>
      <c r="P118" s="271"/>
      <c r="Q118" s="134">
        <f t="shared" si="7"/>
        <v>0</v>
      </c>
      <c r="R118" s="152"/>
      <c r="S118" s="134"/>
      <c r="T118" s="134"/>
      <c r="U118" s="181"/>
      <c r="V118" s="195"/>
      <c r="W118" s="134"/>
      <c r="X118" s="134"/>
      <c r="Y118" s="134"/>
      <c r="Z118" s="174"/>
      <c r="AA118" s="134"/>
      <c r="AB118" s="134"/>
      <c r="AC118" s="134"/>
    </row>
    <row r="119" spans="1:29" ht="24">
      <c r="A119" s="288">
        <v>40044384</v>
      </c>
      <c r="B119" s="123">
        <v>29</v>
      </c>
      <c r="C119" s="119" t="s">
        <v>26</v>
      </c>
      <c r="D119" s="123" t="s">
        <v>332</v>
      </c>
      <c r="E119" s="260">
        <v>155</v>
      </c>
      <c r="F119" s="118" t="s">
        <v>161</v>
      </c>
      <c r="G119" s="124" t="s">
        <v>355</v>
      </c>
      <c r="H119" s="118" t="s">
        <v>94</v>
      </c>
      <c r="I119" s="272" t="s">
        <v>163</v>
      </c>
      <c r="J119" s="117">
        <v>2022</v>
      </c>
      <c r="K119" s="117">
        <v>12493</v>
      </c>
      <c r="L119" s="164">
        <v>342601</v>
      </c>
      <c r="M119" s="118" t="s">
        <v>256</v>
      </c>
      <c r="N119" s="121" t="s">
        <v>161</v>
      </c>
      <c r="O119" s="170"/>
      <c r="P119" s="271"/>
      <c r="Q119" s="134">
        <f t="shared" si="7"/>
        <v>0</v>
      </c>
      <c r="R119" s="152"/>
      <c r="S119" s="134"/>
      <c r="T119" s="134"/>
      <c r="U119" s="181"/>
      <c r="V119" s="195"/>
      <c r="W119" s="134"/>
      <c r="X119" s="134"/>
      <c r="Y119" s="134"/>
      <c r="Z119" s="174"/>
      <c r="AA119" s="134"/>
      <c r="AB119" s="134"/>
      <c r="AC119" s="134"/>
    </row>
    <row r="120" spans="1:29" ht="36">
      <c r="A120" s="288">
        <v>40038920</v>
      </c>
      <c r="B120" s="123">
        <v>29</v>
      </c>
      <c r="C120" s="119" t="s">
        <v>26</v>
      </c>
      <c r="D120" s="123" t="s">
        <v>332</v>
      </c>
      <c r="E120" s="260">
        <v>156</v>
      </c>
      <c r="F120" s="118" t="s">
        <v>161</v>
      </c>
      <c r="G120" s="124" t="s">
        <v>356</v>
      </c>
      <c r="H120" s="118" t="s">
        <v>91</v>
      </c>
      <c r="I120" s="272" t="s">
        <v>173</v>
      </c>
      <c r="J120" s="117">
        <v>2022</v>
      </c>
      <c r="K120" s="117">
        <v>12493</v>
      </c>
      <c r="L120" s="164">
        <v>474823</v>
      </c>
      <c r="M120" s="173" t="s">
        <v>340</v>
      </c>
      <c r="N120" s="121" t="s">
        <v>161</v>
      </c>
      <c r="O120" s="170">
        <v>122423</v>
      </c>
      <c r="P120" s="271">
        <v>36000</v>
      </c>
      <c r="Q120" s="134">
        <f t="shared" si="7"/>
        <v>0</v>
      </c>
      <c r="R120" s="152"/>
      <c r="S120" s="134"/>
      <c r="T120" s="134"/>
      <c r="U120" s="134"/>
      <c r="V120" s="195"/>
      <c r="W120" s="134"/>
      <c r="X120" s="134"/>
      <c r="Y120" s="134"/>
      <c r="Z120" s="174"/>
      <c r="AA120" s="134"/>
      <c r="AB120" s="134"/>
      <c r="AC120" s="134"/>
    </row>
    <row r="121" spans="1:29" ht="24">
      <c r="A121" s="288">
        <v>40021792</v>
      </c>
      <c r="B121" s="123">
        <v>29</v>
      </c>
      <c r="C121" s="119" t="s">
        <v>26</v>
      </c>
      <c r="D121" s="123" t="s">
        <v>332</v>
      </c>
      <c r="E121" s="260">
        <v>157</v>
      </c>
      <c r="F121" s="118" t="s">
        <v>161</v>
      </c>
      <c r="G121" s="124" t="s">
        <v>357</v>
      </c>
      <c r="H121" s="118" t="s">
        <v>83</v>
      </c>
      <c r="I121" s="272" t="s">
        <v>163</v>
      </c>
      <c r="J121" s="117">
        <v>2022</v>
      </c>
      <c r="K121" s="117">
        <v>12542</v>
      </c>
      <c r="L121" s="164">
        <v>402044</v>
      </c>
      <c r="M121" s="118" t="s">
        <v>199</v>
      </c>
      <c r="N121" s="121" t="s">
        <v>161</v>
      </c>
      <c r="O121" s="170"/>
      <c r="P121" s="170"/>
      <c r="Q121" s="134">
        <f t="shared" si="7"/>
        <v>0</v>
      </c>
      <c r="R121" s="152"/>
      <c r="S121" s="134"/>
      <c r="T121" s="134"/>
      <c r="U121" s="181"/>
      <c r="V121" s="195"/>
      <c r="W121" s="134"/>
      <c r="X121" s="134"/>
      <c r="Y121" s="134"/>
      <c r="Z121" s="174"/>
      <c r="AA121" s="134"/>
      <c r="AB121" s="134"/>
      <c r="AC121" s="134"/>
    </row>
    <row r="122" spans="1:29" ht="36">
      <c r="A122" s="288">
        <v>40045548</v>
      </c>
      <c r="B122" s="123">
        <v>29</v>
      </c>
      <c r="C122" s="119" t="s">
        <v>26</v>
      </c>
      <c r="D122" s="123" t="s">
        <v>332</v>
      </c>
      <c r="E122" s="260">
        <v>158</v>
      </c>
      <c r="F122" s="118" t="s">
        <v>161</v>
      </c>
      <c r="G122" s="124" t="s">
        <v>358</v>
      </c>
      <c r="H122" s="118" t="s">
        <v>100</v>
      </c>
      <c r="I122" s="272" t="s">
        <v>163</v>
      </c>
      <c r="J122" s="117">
        <v>2022</v>
      </c>
      <c r="K122" s="117">
        <v>12542</v>
      </c>
      <c r="L122" s="164">
        <v>744504</v>
      </c>
      <c r="M122" s="118" t="s">
        <v>233</v>
      </c>
      <c r="N122" s="121" t="s">
        <v>161</v>
      </c>
      <c r="O122" s="170"/>
      <c r="P122" s="271"/>
      <c r="Q122" s="134">
        <f t="shared" si="7"/>
        <v>0</v>
      </c>
      <c r="R122" s="152"/>
      <c r="S122" s="134"/>
      <c r="T122" s="134"/>
      <c r="U122" s="181"/>
      <c r="V122" s="195"/>
      <c r="W122" s="134"/>
      <c r="X122" s="134"/>
      <c r="Y122" s="134"/>
      <c r="Z122" s="174"/>
      <c r="AA122" s="134"/>
      <c r="AB122" s="134"/>
      <c r="AC122" s="134"/>
    </row>
    <row r="123" spans="1:29" ht="36">
      <c r="A123" s="288">
        <v>40039274</v>
      </c>
      <c r="B123" s="123">
        <v>29</v>
      </c>
      <c r="C123" s="119" t="s">
        <v>26</v>
      </c>
      <c r="D123" s="123" t="s">
        <v>332</v>
      </c>
      <c r="E123" s="260">
        <v>159</v>
      </c>
      <c r="F123" s="118" t="s">
        <v>161</v>
      </c>
      <c r="G123" s="124" t="s">
        <v>359</v>
      </c>
      <c r="H123" s="118" t="s">
        <v>93</v>
      </c>
      <c r="I123" s="272" t="s">
        <v>219</v>
      </c>
      <c r="J123" s="117">
        <v>2022</v>
      </c>
      <c r="K123" s="117">
        <v>12627</v>
      </c>
      <c r="L123" s="164">
        <v>357797.56800000003</v>
      </c>
      <c r="M123" s="173" t="s">
        <v>190</v>
      </c>
      <c r="N123" s="121" t="s">
        <v>161</v>
      </c>
      <c r="O123" s="170"/>
      <c r="P123" s="271">
        <v>357800</v>
      </c>
      <c r="Q123" s="134">
        <f t="shared" si="7"/>
        <v>357797.56800000003</v>
      </c>
      <c r="R123" s="152"/>
      <c r="S123" s="134"/>
      <c r="T123" s="134"/>
      <c r="U123" s="181"/>
      <c r="V123" s="195"/>
      <c r="W123" s="134"/>
      <c r="X123" s="134">
        <v>357797.56800000003</v>
      </c>
      <c r="Y123" s="134"/>
      <c r="Z123" s="174"/>
      <c r="AA123" s="134"/>
      <c r="AB123" s="134"/>
      <c r="AC123" s="134"/>
    </row>
    <row r="124" spans="1:29" ht="36">
      <c r="A124" s="288">
        <v>40045421</v>
      </c>
      <c r="B124" s="123">
        <v>29</v>
      </c>
      <c r="C124" s="119" t="s">
        <v>26</v>
      </c>
      <c r="D124" s="123" t="s">
        <v>332</v>
      </c>
      <c r="E124" s="260">
        <v>160</v>
      </c>
      <c r="F124" s="118" t="s">
        <v>161</v>
      </c>
      <c r="G124" s="124" t="s">
        <v>360</v>
      </c>
      <c r="H124" s="118" t="s">
        <v>92</v>
      </c>
      <c r="I124" s="272" t="s">
        <v>163</v>
      </c>
      <c r="J124" s="117">
        <v>2022</v>
      </c>
      <c r="K124" s="138">
        <v>12627</v>
      </c>
      <c r="L124" s="165">
        <v>817899</v>
      </c>
      <c r="M124" s="139" t="s">
        <v>187</v>
      </c>
      <c r="N124" s="121" t="s">
        <v>354</v>
      </c>
      <c r="O124" s="170">
        <v>13412</v>
      </c>
      <c r="P124" s="271">
        <v>25000</v>
      </c>
      <c r="Q124" s="134">
        <f t="shared" si="7"/>
        <v>0</v>
      </c>
      <c r="R124" s="152"/>
      <c r="S124" s="134"/>
      <c r="T124" s="134"/>
      <c r="U124" s="181"/>
      <c r="V124" s="195"/>
      <c r="W124" s="134"/>
      <c r="X124" s="134"/>
      <c r="Y124" s="134"/>
      <c r="Z124" s="174"/>
      <c r="AA124" s="134"/>
      <c r="AB124" s="134"/>
      <c r="AC124" s="134"/>
    </row>
    <row r="125" spans="1:29" ht="36">
      <c r="A125" s="288">
        <v>40011670</v>
      </c>
      <c r="B125" s="123">
        <v>29</v>
      </c>
      <c r="C125" s="119" t="s">
        <v>26</v>
      </c>
      <c r="D125" s="123" t="s">
        <v>332</v>
      </c>
      <c r="E125" s="260">
        <v>161</v>
      </c>
      <c r="F125" s="118" t="s">
        <v>161</v>
      </c>
      <c r="G125" s="124" t="s">
        <v>361</v>
      </c>
      <c r="H125" s="118" t="s">
        <v>92</v>
      </c>
      <c r="I125" s="272" t="s">
        <v>310</v>
      </c>
      <c r="J125" s="138">
        <v>2020</v>
      </c>
      <c r="K125" s="138">
        <v>10619</v>
      </c>
      <c r="L125" s="165">
        <v>890792</v>
      </c>
      <c r="M125" s="173" t="s">
        <v>187</v>
      </c>
      <c r="N125" s="121" t="s">
        <v>161</v>
      </c>
      <c r="O125" s="170"/>
      <c r="P125" s="271">
        <v>679147</v>
      </c>
      <c r="Q125" s="134">
        <f t="shared" si="7"/>
        <v>807523.28999999992</v>
      </c>
      <c r="R125" s="152"/>
      <c r="S125" s="134"/>
      <c r="T125" s="134">
        <v>679146.09</v>
      </c>
      <c r="U125" s="181"/>
      <c r="V125" s="195"/>
      <c r="W125" s="134"/>
      <c r="X125" s="134"/>
      <c r="Y125" s="134"/>
      <c r="Z125" s="134">
        <v>128377.2</v>
      </c>
      <c r="AA125" s="134"/>
      <c r="AB125" s="134"/>
      <c r="AC125" s="134"/>
    </row>
    <row r="126" spans="1:29" ht="36">
      <c r="A126" s="288">
        <v>40045393</v>
      </c>
      <c r="B126" s="123">
        <v>29</v>
      </c>
      <c r="C126" s="119" t="s">
        <v>26</v>
      </c>
      <c r="D126" s="123" t="s">
        <v>332</v>
      </c>
      <c r="E126" s="260">
        <v>162</v>
      </c>
      <c r="F126" s="118" t="s">
        <v>161</v>
      </c>
      <c r="G126" s="124" t="s">
        <v>362</v>
      </c>
      <c r="H126" s="118" t="s">
        <v>92</v>
      </c>
      <c r="I126" s="272" t="s">
        <v>163</v>
      </c>
      <c r="J126" s="117">
        <v>2022</v>
      </c>
      <c r="K126" s="117">
        <v>12672</v>
      </c>
      <c r="L126" s="164">
        <v>403500</v>
      </c>
      <c r="M126" s="118" t="s">
        <v>187</v>
      </c>
      <c r="N126" s="121" t="s">
        <v>161</v>
      </c>
      <c r="O126" s="170"/>
      <c r="P126" s="271"/>
      <c r="Q126" s="134">
        <f t="shared" si="7"/>
        <v>0</v>
      </c>
      <c r="R126" s="152"/>
      <c r="S126" s="134"/>
      <c r="T126" s="134"/>
      <c r="U126" s="181"/>
      <c r="V126" s="195"/>
      <c r="W126" s="134"/>
      <c r="X126" s="134"/>
      <c r="Y126" s="134"/>
      <c r="Z126" s="174"/>
      <c r="AA126" s="134"/>
      <c r="AB126" s="134"/>
      <c r="AC126" s="134"/>
    </row>
    <row r="127" spans="1:29" ht="24">
      <c r="A127" s="288">
        <v>40010001</v>
      </c>
      <c r="B127" s="123">
        <v>29</v>
      </c>
      <c r="C127" s="119" t="s">
        <v>26</v>
      </c>
      <c r="D127" s="123" t="s">
        <v>332</v>
      </c>
      <c r="E127" s="117">
        <v>163</v>
      </c>
      <c r="F127" s="118" t="s">
        <v>161</v>
      </c>
      <c r="G127" s="124" t="s">
        <v>363</v>
      </c>
      <c r="H127" s="118" t="s">
        <v>99</v>
      </c>
      <c r="I127" s="272" t="s">
        <v>163</v>
      </c>
      <c r="J127" s="117">
        <v>2020</v>
      </c>
      <c r="K127" s="117">
        <v>10619</v>
      </c>
      <c r="L127" s="164">
        <v>193970</v>
      </c>
      <c r="M127" s="118" t="s">
        <v>263</v>
      </c>
      <c r="N127" s="121" t="s">
        <v>161</v>
      </c>
      <c r="O127" s="170">
        <v>14161</v>
      </c>
      <c r="P127" s="170">
        <v>193970</v>
      </c>
      <c r="Q127" s="134">
        <f t="shared" si="7"/>
        <v>193970</v>
      </c>
      <c r="R127" s="152"/>
      <c r="S127" s="134">
        <v>193970</v>
      </c>
      <c r="T127" s="134"/>
      <c r="U127" s="181"/>
      <c r="V127" s="195"/>
      <c r="W127" s="134"/>
      <c r="X127" s="134"/>
      <c r="Y127" s="134"/>
      <c r="Z127" s="174"/>
      <c r="AA127" s="134"/>
      <c r="AB127" s="134"/>
      <c r="AC127" s="134"/>
    </row>
    <row r="128" spans="1:29" ht="24">
      <c r="A128" s="288">
        <v>40022571</v>
      </c>
      <c r="B128" s="123">
        <v>29</v>
      </c>
      <c r="C128" s="119" t="s">
        <v>26</v>
      </c>
      <c r="D128" s="123" t="s">
        <v>332</v>
      </c>
      <c r="E128" s="260">
        <v>164</v>
      </c>
      <c r="F128" s="118" t="s">
        <v>161</v>
      </c>
      <c r="G128" s="124" t="s">
        <v>364</v>
      </c>
      <c r="H128" s="118" t="s">
        <v>86</v>
      </c>
      <c r="I128" s="272" t="s">
        <v>163</v>
      </c>
      <c r="J128" s="117">
        <v>2022</v>
      </c>
      <c r="K128" s="117">
        <v>12617</v>
      </c>
      <c r="L128" s="165">
        <v>167135.97700000001</v>
      </c>
      <c r="M128" s="118" t="s">
        <v>229</v>
      </c>
      <c r="N128" s="121" t="s">
        <v>161</v>
      </c>
      <c r="O128" s="170"/>
      <c r="P128" s="271"/>
      <c r="Q128" s="134">
        <f t="shared" si="7"/>
        <v>0</v>
      </c>
      <c r="R128" s="152"/>
      <c r="S128" s="134"/>
      <c r="T128" s="134"/>
      <c r="U128" s="181"/>
      <c r="V128" s="195"/>
      <c r="W128" s="134"/>
      <c r="X128" s="134"/>
      <c r="Y128" s="134"/>
      <c r="Z128" s="134"/>
      <c r="AA128" s="134"/>
      <c r="AB128" s="134"/>
      <c r="AC128" s="134"/>
    </row>
    <row r="129" spans="1:35" ht="24">
      <c r="A129" s="288">
        <v>40003005</v>
      </c>
      <c r="B129" s="123">
        <v>31</v>
      </c>
      <c r="C129" s="119" t="s">
        <v>29</v>
      </c>
      <c r="D129" s="123"/>
      <c r="E129" s="260"/>
      <c r="F129" s="118" t="s">
        <v>161</v>
      </c>
      <c r="G129" s="124" t="s">
        <v>365</v>
      </c>
      <c r="H129" s="118" t="s">
        <v>83</v>
      </c>
      <c r="I129" s="272" t="s">
        <v>163</v>
      </c>
      <c r="J129" s="117">
        <v>2018</v>
      </c>
      <c r="K129" s="138">
        <v>9193</v>
      </c>
      <c r="L129" s="165">
        <v>657149</v>
      </c>
      <c r="M129" s="173" t="s">
        <v>174</v>
      </c>
      <c r="N129" s="121" t="s">
        <v>366</v>
      </c>
      <c r="O129" s="170">
        <v>670677</v>
      </c>
      <c r="P129" s="271">
        <v>0</v>
      </c>
      <c r="Q129" s="134">
        <f t="shared" si="7"/>
        <v>0</v>
      </c>
      <c r="R129" s="152"/>
      <c r="S129" s="134"/>
      <c r="T129" s="134"/>
      <c r="U129" s="181"/>
      <c r="V129" s="195"/>
      <c r="W129" s="134"/>
      <c r="X129" s="134"/>
      <c r="Y129" s="134"/>
      <c r="Z129" s="134"/>
      <c r="AA129" s="134"/>
      <c r="AB129" s="134"/>
      <c r="AC129" s="134"/>
    </row>
    <row r="130" spans="1:35" ht="24">
      <c r="A130" s="288">
        <v>40001875</v>
      </c>
      <c r="B130" s="123">
        <v>31</v>
      </c>
      <c r="C130" s="119" t="s">
        <v>29</v>
      </c>
      <c r="D130" s="123"/>
      <c r="E130" s="260"/>
      <c r="F130" s="118" t="s">
        <v>161</v>
      </c>
      <c r="G130" s="124" t="s">
        <v>367</v>
      </c>
      <c r="H130" s="118" t="s">
        <v>83</v>
      </c>
      <c r="I130" s="272" t="s">
        <v>163</v>
      </c>
      <c r="J130" s="117">
        <v>2018</v>
      </c>
      <c r="K130" s="138">
        <v>9156</v>
      </c>
      <c r="L130" s="165">
        <v>431358</v>
      </c>
      <c r="M130" s="173" t="s">
        <v>174</v>
      </c>
      <c r="N130" s="121" t="s">
        <v>366</v>
      </c>
      <c r="O130" s="170">
        <v>430733</v>
      </c>
      <c r="P130" s="271">
        <v>0</v>
      </c>
      <c r="Q130" s="134">
        <f t="shared" si="7"/>
        <v>0</v>
      </c>
      <c r="R130" s="152"/>
      <c r="S130" s="134"/>
      <c r="T130" s="134"/>
      <c r="U130" s="181"/>
      <c r="V130" s="195"/>
      <c r="W130" s="134"/>
      <c r="X130" s="134"/>
      <c r="Y130" s="134"/>
      <c r="Z130" s="134"/>
      <c r="AA130" s="134"/>
      <c r="AB130" s="134"/>
      <c r="AC130" s="134"/>
    </row>
    <row r="131" spans="1:35" ht="36">
      <c r="A131" s="288">
        <v>30118718</v>
      </c>
      <c r="B131" s="123">
        <v>33</v>
      </c>
      <c r="C131" s="119" t="s">
        <v>26</v>
      </c>
      <c r="D131" s="123" t="s">
        <v>312</v>
      </c>
      <c r="E131" s="80">
        <v>211</v>
      </c>
      <c r="F131" s="118" t="s">
        <v>161</v>
      </c>
      <c r="G131" s="124" t="s">
        <v>368</v>
      </c>
      <c r="H131" s="118" t="s">
        <v>103</v>
      </c>
      <c r="I131" s="272" t="s">
        <v>163</v>
      </c>
      <c r="J131" s="117">
        <v>2011</v>
      </c>
      <c r="K131" s="138">
        <v>5244</v>
      </c>
      <c r="L131" s="164">
        <v>6448888</v>
      </c>
      <c r="M131" s="118" t="s">
        <v>369</v>
      </c>
      <c r="N131" s="121" t="s">
        <v>354</v>
      </c>
      <c r="O131" s="170"/>
      <c r="P131" s="134"/>
      <c r="Q131" s="134">
        <f t="shared" si="7"/>
        <v>0</v>
      </c>
      <c r="R131" s="134"/>
      <c r="S131" s="134"/>
      <c r="T131" s="134"/>
      <c r="U131" s="181"/>
      <c r="V131" s="134"/>
      <c r="W131" s="134"/>
      <c r="X131" s="134"/>
      <c r="Y131" s="170"/>
      <c r="Z131" s="174"/>
      <c r="AA131" s="134"/>
      <c r="AB131" s="134"/>
      <c r="AC131" s="134"/>
    </row>
    <row r="132" spans="1:35" ht="48">
      <c r="A132" s="288">
        <v>40000006</v>
      </c>
      <c r="B132" s="123">
        <v>33</v>
      </c>
      <c r="C132" s="119" t="s">
        <v>26</v>
      </c>
      <c r="D132" s="123" t="s">
        <v>312</v>
      </c>
      <c r="E132" s="117">
        <v>244</v>
      </c>
      <c r="F132" s="118" t="s">
        <v>161</v>
      </c>
      <c r="G132" s="124" t="s">
        <v>370</v>
      </c>
      <c r="H132" s="118" t="s">
        <v>103</v>
      </c>
      <c r="I132" s="272" t="s">
        <v>371</v>
      </c>
      <c r="J132" s="117">
        <v>2017</v>
      </c>
      <c r="K132" s="138" t="s">
        <v>372</v>
      </c>
      <c r="L132" s="164">
        <v>853400</v>
      </c>
      <c r="M132" s="118" t="s">
        <v>373</v>
      </c>
      <c r="N132" s="121" t="s">
        <v>161</v>
      </c>
      <c r="O132" s="170">
        <v>54400</v>
      </c>
      <c r="P132" s="134"/>
      <c r="Q132" s="134">
        <f t="shared" si="7"/>
        <v>46442.834999999999</v>
      </c>
      <c r="R132" s="134"/>
      <c r="S132" s="134"/>
      <c r="T132" s="134"/>
      <c r="U132" s="134"/>
      <c r="V132" s="134"/>
      <c r="W132" s="134"/>
      <c r="X132" s="134">
        <v>46442.834999999999</v>
      </c>
      <c r="Y132" s="170"/>
      <c r="Z132" s="134"/>
      <c r="AA132" s="170"/>
      <c r="AB132" s="134"/>
      <c r="AC132" s="134"/>
    </row>
    <row r="133" spans="1:35" ht="36">
      <c r="A133" s="288">
        <v>40006127</v>
      </c>
      <c r="B133" s="123">
        <v>33</v>
      </c>
      <c r="C133" s="119" t="s">
        <v>26</v>
      </c>
      <c r="D133" s="123" t="s">
        <v>312</v>
      </c>
      <c r="E133" s="117">
        <v>408</v>
      </c>
      <c r="F133" s="118" t="s">
        <v>161</v>
      </c>
      <c r="G133" s="124" t="s">
        <v>374</v>
      </c>
      <c r="H133" s="118" t="s">
        <v>103</v>
      </c>
      <c r="I133" s="272" t="s">
        <v>163</v>
      </c>
      <c r="J133" s="117">
        <v>2018</v>
      </c>
      <c r="K133" s="117" t="s">
        <v>375</v>
      </c>
      <c r="L133" s="164">
        <v>940000</v>
      </c>
      <c r="M133" s="118" t="s">
        <v>376</v>
      </c>
      <c r="N133" s="121" t="s">
        <v>238</v>
      </c>
      <c r="O133" s="170">
        <v>11082</v>
      </c>
      <c r="P133" s="134"/>
      <c r="Q133" s="134">
        <f t="shared" si="7"/>
        <v>8803.0259999999998</v>
      </c>
      <c r="R133" s="134"/>
      <c r="S133" s="134"/>
      <c r="T133" s="134"/>
      <c r="U133" s="134"/>
      <c r="V133" s="134"/>
      <c r="W133" s="134"/>
      <c r="X133" s="134"/>
      <c r="Y133" s="170">
        <v>7439.1180000000004</v>
      </c>
      <c r="Z133" s="134">
        <v>1363.9079999999999</v>
      </c>
      <c r="AA133" s="134"/>
      <c r="AB133" s="134"/>
      <c r="AC133" s="134"/>
      <c r="AD133" s="162"/>
      <c r="AE133" s="162"/>
      <c r="AF133" s="162"/>
      <c r="AG133" s="162"/>
      <c r="AH133" s="162"/>
      <c r="AI133" s="162"/>
    </row>
    <row r="134" spans="1:35" ht="24">
      <c r="A134" s="288">
        <v>40014269</v>
      </c>
      <c r="B134" s="117">
        <v>33</v>
      </c>
      <c r="C134" s="119" t="s">
        <v>26</v>
      </c>
      <c r="D134" s="123">
        <v>3303</v>
      </c>
      <c r="E134" s="80">
        <v>410</v>
      </c>
      <c r="F134" s="118" t="s">
        <v>161</v>
      </c>
      <c r="G134" s="124" t="s">
        <v>377</v>
      </c>
      <c r="H134" s="118" t="s">
        <v>103</v>
      </c>
      <c r="I134" s="272" t="s">
        <v>378</v>
      </c>
      <c r="J134" s="117">
        <v>2019</v>
      </c>
      <c r="K134" s="117">
        <v>10066</v>
      </c>
      <c r="L134" s="172">
        <v>135000</v>
      </c>
      <c r="M134" s="124" t="s">
        <v>379</v>
      </c>
      <c r="N134" s="121" t="s">
        <v>161</v>
      </c>
      <c r="O134" s="170">
        <v>75</v>
      </c>
      <c r="P134" s="134"/>
      <c r="Q134" s="134">
        <f t="shared" si="7"/>
        <v>0</v>
      </c>
      <c r="R134" s="134"/>
      <c r="S134" s="134"/>
      <c r="T134" s="134"/>
      <c r="U134" s="134"/>
      <c r="V134" s="134"/>
      <c r="W134" s="174"/>
      <c r="X134" s="134"/>
      <c r="Y134" s="170"/>
      <c r="Z134" s="134"/>
      <c r="AA134" s="134"/>
      <c r="AB134" s="134"/>
      <c r="AC134" s="134"/>
      <c r="AD134" s="162"/>
      <c r="AE134" s="162"/>
      <c r="AF134" s="162"/>
      <c r="AG134" s="162"/>
      <c r="AH134" s="162"/>
      <c r="AI134" s="162"/>
    </row>
    <row r="135" spans="1:35" ht="36">
      <c r="A135" s="288">
        <v>40014520</v>
      </c>
      <c r="B135" s="136">
        <v>33</v>
      </c>
      <c r="C135" s="140" t="s">
        <v>24</v>
      </c>
      <c r="D135" s="123" t="s">
        <v>380</v>
      </c>
      <c r="E135" s="80">
        <v>413</v>
      </c>
      <c r="F135" s="251" t="s">
        <v>161</v>
      </c>
      <c r="G135" s="124" t="s">
        <v>381</v>
      </c>
      <c r="H135" s="251" t="s">
        <v>103</v>
      </c>
      <c r="I135" s="272" t="s">
        <v>310</v>
      </c>
      <c r="J135" s="117">
        <v>2020</v>
      </c>
      <c r="K135" s="117">
        <v>11090</v>
      </c>
      <c r="L135" s="172">
        <v>341959</v>
      </c>
      <c r="M135" s="118" t="s">
        <v>768</v>
      </c>
      <c r="N135" s="121" t="s">
        <v>238</v>
      </c>
      <c r="O135" s="170"/>
      <c r="P135" s="134"/>
      <c r="Q135" s="134">
        <f t="shared" si="7"/>
        <v>0</v>
      </c>
      <c r="R135" s="134"/>
      <c r="S135" s="134"/>
      <c r="T135" s="134"/>
      <c r="U135" s="181"/>
      <c r="V135" s="134"/>
      <c r="W135" s="134"/>
      <c r="X135" s="134"/>
      <c r="Y135" s="134"/>
      <c r="Z135" s="134"/>
      <c r="AA135" s="134"/>
      <c r="AB135" s="134"/>
      <c r="AC135" s="134"/>
      <c r="AD135" s="162"/>
      <c r="AE135" s="162"/>
      <c r="AF135" s="162"/>
      <c r="AG135" s="162"/>
      <c r="AH135" s="162"/>
      <c r="AI135" s="162"/>
    </row>
    <row r="136" spans="1:35" ht="36">
      <c r="A136" s="288">
        <v>40014467</v>
      </c>
      <c r="B136" s="123">
        <v>33</v>
      </c>
      <c r="C136" s="119" t="s">
        <v>26</v>
      </c>
      <c r="D136" s="123" t="s">
        <v>312</v>
      </c>
      <c r="E136" s="117">
        <v>413</v>
      </c>
      <c r="F136" s="118" t="s">
        <v>161</v>
      </c>
      <c r="G136" s="124" t="s">
        <v>382</v>
      </c>
      <c r="H136" s="118" t="s">
        <v>103</v>
      </c>
      <c r="I136" s="272" t="s">
        <v>378</v>
      </c>
      <c r="J136" s="117">
        <v>2019</v>
      </c>
      <c r="K136" s="117">
        <v>10066</v>
      </c>
      <c r="L136" s="164">
        <v>118775</v>
      </c>
      <c r="M136" s="118" t="s">
        <v>379</v>
      </c>
      <c r="N136" s="121" t="s">
        <v>161</v>
      </c>
      <c r="O136" s="170">
        <v>3629</v>
      </c>
      <c r="P136" s="134"/>
      <c r="Q136" s="134">
        <f t="shared" si="7"/>
        <v>0</v>
      </c>
      <c r="R136" s="134"/>
      <c r="S136" s="134"/>
      <c r="T136" s="134"/>
      <c r="U136" s="134"/>
      <c r="V136" s="134"/>
      <c r="W136" s="134"/>
      <c r="X136" s="134"/>
      <c r="Y136" s="170"/>
      <c r="Z136" s="134"/>
      <c r="AA136" s="134"/>
      <c r="AB136" s="134"/>
      <c r="AC136" s="134"/>
      <c r="AD136" s="162"/>
      <c r="AE136" s="162"/>
      <c r="AF136" s="162"/>
      <c r="AG136" s="162"/>
      <c r="AH136" s="162"/>
      <c r="AI136" s="162"/>
    </row>
    <row r="137" spans="1:35" ht="48">
      <c r="A137" s="288">
        <v>40014457</v>
      </c>
      <c r="B137" s="136">
        <v>33</v>
      </c>
      <c r="C137" s="140" t="s">
        <v>24</v>
      </c>
      <c r="D137" s="123" t="s">
        <v>380</v>
      </c>
      <c r="E137" s="80">
        <v>414</v>
      </c>
      <c r="F137" s="251" t="s">
        <v>161</v>
      </c>
      <c r="G137" s="124" t="s">
        <v>383</v>
      </c>
      <c r="H137" s="251" t="s">
        <v>103</v>
      </c>
      <c r="I137" s="272" t="s">
        <v>310</v>
      </c>
      <c r="J137" s="117">
        <v>2020</v>
      </c>
      <c r="K137" s="117">
        <v>11090</v>
      </c>
      <c r="L137" s="172">
        <v>517280</v>
      </c>
      <c r="M137" s="118" t="s">
        <v>768</v>
      </c>
      <c r="N137" s="121" t="s">
        <v>238</v>
      </c>
      <c r="O137" s="170"/>
      <c r="P137" s="134"/>
      <c r="Q137" s="134">
        <f t="shared" si="7"/>
        <v>0</v>
      </c>
      <c r="R137" s="134"/>
      <c r="S137" s="134"/>
      <c r="T137" s="134"/>
      <c r="U137" s="181"/>
      <c r="V137" s="134"/>
      <c r="W137" s="134"/>
      <c r="X137" s="134"/>
      <c r="Y137" s="134"/>
      <c r="Z137" s="134"/>
      <c r="AA137" s="134"/>
      <c r="AB137" s="134"/>
      <c r="AC137" s="134"/>
      <c r="AD137" s="162"/>
      <c r="AE137" s="162"/>
      <c r="AF137" s="162"/>
      <c r="AG137" s="162"/>
      <c r="AH137" s="162"/>
      <c r="AI137" s="162"/>
    </row>
    <row r="138" spans="1:35" ht="24">
      <c r="A138" s="288">
        <v>40014502</v>
      </c>
      <c r="B138" s="117">
        <v>33</v>
      </c>
      <c r="C138" s="119" t="s">
        <v>26</v>
      </c>
      <c r="D138" s="123">
        <v>3303</v>
      </c>
      <c r="E138" s="80">
        <v>416</v>
      </c>
      <c r="F138" s="118" t="s">
        <v>161</v>
      </c>
      <c r="G138" s="124" t="s">
        <v>384</v>
      </c>
      <c r="H138" s="118" t="s">
        <v>103</v>
      </c>
      <c r="I138" s="272" t="s">
        <v>378</v>
      </c>
      <c r="J138" s="117">
        <v>2019</v>
      </c>
      <c r="K138" s="117">
        <v>10066</v>
      </c>
      <c r="L138" s="172">
        <v>134985</v>
      </c>
      <c r="M138" s="124" t="s">
        <v>379</v>
      </c>
      <c r="N138" s="121" t="s">
        <v>161</v>
      </c>
      <c r="O138" s="170">
        <v>26</v>
      </c>
      <c r="P138" s="134"/>
      <c r="Q138" s="134">
        <f t="shared" si="7"/>
        <v>0</v>
      </c>
      <c r="R138" s="134"/>
      <c r="S138" s="134"/>
      <c r="T138" s="134"/>
      <c r="U138" s="134"/>
      <c r="V138" s="134"/>
      <c r="W138" s="134"/>
      <c r="X138" s="134"/>
      <c r="Y138" s="170"/>
      <c r="Z138" s="134"/>
      <c r="AA138" s="134"/>
      <c r="AB138" s="134"/>
      <c r="AC138" s="134"/>
      <c r="AD138" s="162"/>
      <c r="AE138" s="162"/>
      <c r="AF138" s="162"/>
      <c r="AG138" s="162"/>
      <c r="AH138" s="162"/>
      <c r="AI138" s="162"/>
    </row>
    <row r="139" spans="1:35" ht="24">
      <c r="A139" s="288">
        <v>40014503</v>
      </c>
      <c r="B139" s="117">
        <v>33</v>
      </c>
      <c r="C139" s="119" t="s">
        <v>26</v>
      </c>
      <c r="D139" s="123">
        <v>3303</v>
      </c>
      <c r="E139" s="80">
        <v>417</v>
      </c>
      <c r="F139" s="118" t="s">
        <v>161</v>
      </c>
      <c r="G139" s="124" t="s">
        <v>385</v>
      </c>
      <c r="H139" s="118" t="s">
        <v>103</v>
      </c>
      <c r="I139" s="272" t="s">
        <v>378</v>
      </c>
      <c r="J139" s="117">
        <v>2019</v>
      </c>
      <c r="K139" s="117">
        <v>10066</v>
      </c>
      <c r="L139" s="172">
        <v>106960</v>
      </c>
      <c r="M139" s="124" t="s">
        <v>379</v>
      </c>
      <c r="N139" s="121" t="s">
        <v>161</v>
      </c>
      <c r="O139" s="170">
        <v>1610</v>
      </c>
      <c r="P139" s="134"/>
      <c r="Q139" s="134">
        <f t="shared" si="7"/>
        <v>0</v>
      </c>
      <c r="R139" s="152"/>
      <c r="S139" s="134"/>
      <c r="T139" s="134"/>
      <c r="U139" s="134"/>
      <c r="V139" s="134"/>
      <c r="W139" s="134"/>
      <c r="X139" s="134"/>
      <c r="Y139" s="170"/>
      <c r="Z139" s="134"/>
      <c r="AA139" s="134"/>
      <c r="AB139" s="134"/>
      <c r="AC139" s="134"/>
      <c r="AD139" s="162"/>
      <c r="AE139" s="162"/>
      <c r="AF139" s="162"/>
      <c r="AG139" s="162"/>
      <c r="AH139" s="162"/>
      <c r="AI139" s="162"/>
    </row>
    <row r="140" spans="1:35" ht="72">
      <c r="A140" s="288">
        <v>40010406</v>
      </c>
      <c r="B140" s="135">
        <v>33</v>
      </c>
      <c r="C140" s="140" t="s">
        <v>26</v>
      </c>
      <c r="D140" s="123" t="s">
        <v>312</v>
      </c>
      <c r="E140" s="117">
        <v>418</v>
      </c>
      <c r="F140" s="118" t="s">
        <v>161</v>
      </c>
      <c r="G140" s="124" t="s">
        <v>386</v>
      </c>
      <c r="H140" s="118" t="s">
        <v>103</v>
      </c>
      <c r="I140" s="272" t="s">
        <v>387</v>
      </c>
      <c r="J140" s="117">
        <v>2019</v>
      </c>
      <c r="K140" s="117">
        <v>9880</v>
      </c>
      <c r="L140" s="164">
        <v>763623</v>
      </c>
      <c r="M140" s="118" t="s">
        <v>388</v>
      </c>
      <c r="N140" s="121" t="s">
        <v>238</v>
      </c>
      <c r="O140" s="170"/>
      <c r="P140" s="134"/>
      <c r="Q140" s="134">
        <f t="shared" si="7"/>
        <v>0</v>
      </c>
      <c r="R140" s="152"/>
      <c r="S140" s="134"/>
      <c r="T140" s="134"/>
      <c r="U140" s="134"/>
      <c r="V140" s="134"/>
      <c r="W140" s="134"/>
      <c r="X140" s="134"/>
      <c r="Y140" s="170"/>
      <c r="Z140" s="134"/>
      <c r="AA140" s="134"/>
      <c r="AB140" s="134"/>
      <c r="AC140" s="134"/>
      <c r="AD140" s="162"/>
      <c r="AE140" s="162"/>
      <c r="AF140" s="162"/>
      <c r="AG140" s="162"/>
      <c r="AH140" s="162"/>
      <c r="AI140" s="162"/>
    </row>
    <row r="141" spans="1:35" ht="24">
      <c r="A141" s="288">
        <v>40009951</v>
      </c>
      <c r="B141" s="123">
        <v>33</v>
      </c>
      <c r="C141" s="119" t="s">
        <v>26</v>
      </c>
      <c r="D141" s="123" t="s">
        <v>312</v>
      </c>
      <c r="E141" s="123">
        <v>420</v>
      </c>
      <c r="F141" s="118" t="s">
        <v>161</v>
      </c>
      <c r="G141" s="172" t="s">
        <v>389</v>
      </c>
      <c r="H141" s="118" t="s">
        <v>103</v>
      </c>
      <c r="I141" s="272" t="s">
        <v>163</v>
      </c>
      <c r="J141" s="117">
        <v>2019</v>
      </c>
      <c r="K141" s="117">
        <v>10369</v>
      </c>
      <c r="L141" s="164">
        <v>220000</v>
      </c>
      <c r="M141" s="118" t="s">
        <v>348</v>
      </c>
      <c r="N141" s="121" t="s">
        <v>161</v>
      </c>
      <c r="O141" s="170"/>
      <c r="P141" s="134"/>
      <c r="Q141" s="134">
        <f t="shared" ref="Q141:Q198" si="8">SUM(R141:AC141)</f>
        <v>0</v>
      </c>
      <c r="R141" s="152"/>
      <c r="S141" s="134"/>
      <c r="T141" s="134"/>
      <c r="U141" s="134"/>
      <c r="V141" s="134"/>
      <c r="W141" s="134"/>
      <c r="X141" s="134"/>
      <c r="Y141" s="170"/>
      <c r="Z141" s="134"/>
      <c r="AA141" s="134"/>
      <c r="AB141" s="134"/>
      <c r="AC141" s="134"/>
    </row>
    <row r="142" spans="1:35" ht="36">
      <c r="A142" s="288">
        <v>40019817</v>
      </c>
      <c r="B142" s="117">
        <v>33</v>
      </c>
      <c r="C142" s="119" t="s">
        <v>26</v>
      </c>
      <c r="D142" s="123" t="s">
        <v>312</v>
      </c>
      <c r="E142" s="80">
        <v>422</v>
      </c>
      <c r="F142" s="118" t="s">
        <v>161</v>
      </c>
      <c r="G142" s="124" t="s">
        <v>390</v>
      </c>
      <c r="H142" s="118" t="s">
        <v>103</v>
      </c>
      <c r="I142" s="272" t="s">
        <v>391</v>
      </c>
      <c r="J142" s="117">
        <v>2020</v>
      </c>
      <c r="K142" s="117">
        <v>10767</v>
      </c>
      <c r="L142" s="172">
        <v>3240000</v>
      </c>
      <c r="M142" s="124" t="s">
        <v>348</v>
      </c>
      <c r="N142" s="121" t="s">
        <v>161</v>
      </c>
      <c r="O142" s="170">
        <v>29460</v>
      </c>
      <c r="P142" s="134"/>
      <c r="Q142" s="134">
        <f t="shared" si="8"/>
        <v>16212.984</v>
      </c>
      <c r="R142" s="152"/>
      <c r="S142" s="134"/>
      <c r="T142" s="134"/>
      <c r="U142" s="134"/>
      <c r="V142" s="134"/>
      <c r="W142" s="134"/>
      <c r="X142" s="134"/>
      <c r="Y142" s="170"/>
      <c r="Z142" s="134">
        <v>5206.0249999999996</v>
      </c>
      <c r="AA142" s="134">
        <v>11006.959000000001</v>
      </c>
      <c r="AB142" s="134"/>
      <c r="AC142" s="134"/>
    </row>
    <row r="143" spans="1:35" ht="36">
      <c r="A143" s="288">
        <v>40010558</v>
      </c>
      <c r="B143" s="123">
        <v>33</v>
      </c>
      <c r="C143" s="119" t="s">
        <v>26</v>
      </c>
      <c r="D143" s="123" t="s">
        <v>312</v>
      </c>
      <c r="E143" s="117">
        <v>424</v>
      </c>
      <c r="F143" s="118" t="s">
        <v>161</v>
      </c>
      <c r="G143" s="124" t="s">
        <v>392</v>
      </c>
      <c r="H143" s="118" t="s">
        <v>103</v>
      </c>
      <c r="I143" s="272" t="s">
        <v>163</v>
      </c>
      <c r="J143" s="117">
        <v>2020</v>
      </c>
      <c r="K143" s="117">
        <v>11090</v>
      </c>
      <c r="L143" s="164">
        <v>372780</v>
      </c>
      <c r="M143" s="118" t="s">
        <v>393</v>
      </c>
      <c r="N143" s="121" t="s">
        <v>238</v>
      </c>
      <c r="O143" s="170"/>
      <c r="P143" s="134"/>
      <c r="Q143" s="134">
        <f t="shared" si="8"/>
        <v>0</v>
      </c>
      <c r="R143" s="152"/>
      <c r="S143" s="134"/>
      <c r="T143" s="134"/>
      <c r="U143" s="134"/>
      <c r="V143" s="134"/>
      <c r="W143" s="134"/>
      <c r="X143" s="134"/>
      <c r="Y143" s="170"/>
      <c r="Z143" s="307"/>
      <c r="AA143" s="134"/>
      <c r="AB143" s="134"/>
      <c r="AC143" s="134"/>
    </row>
    <row r="144" spans="1:35" ht="36">
      <c r="A144" s="288">
        <v>40024825</v>
      </c>
      <c r="B144" s="185">
        <v>33</v>
      </c>
      <c r="C144" s="267" t="s">
        <v>26</v>
      </c>
      <c r="D144" s="1" t="s">
        <v>312</v>
      </c>
      <c r="E144" s="117">
        <v>425</v>
      </c>
      <c r="F144" s="7" t="s">
        <v>161</v>
      </c>
      <c r="G144" s="124" t="s">
        <v>394</v>
      </c>
      <c r="H144" s="139" t="s">
        <v>103</v>
      </c>
      <c r="I144" s="272" t="s">
        <v>391</v>
      </c>
      <c r="J144" s="138">
        <v>2020</v>
      </c>
      <c r="K144" s="138">
        <v>11090</v>
      </c>
      <c r="L144" s="165">
        <v>1267240</v>
      </c>
      <c r="M144" s="118" t="s">
        <v>395</v>
      </c>
      <c r="N144" s="121" t="s">
        <v>238</v>
      </c>
      <c r="O144" s="170"/>
      <c r="P144" s="186"/>
      <c r="Q144" s="134">
        <f t="shared" si="8"/>
        <v>0</v>
      </c>
      <c r="R144" s="187"/>
      <c r="S144" s="186"/>
      <c r="T144" s="186"/>
      <c r="U144" s="134"/>
      <c r="V144" s="186"/>
      <c r="W144" s="186"/>
      <c r="X144" s="186"/>
      <c r="Y144" s="247"/>
      <c r="Z144" s="134"/>
      <c r="AA144" s="186"/>
      <c r="AB144" s="186"/>
      <c r="AC144" s="186"/>
    </row>
    <row r="145" spans="1:29" ht="48">
      <c r="A145" s="288">
        <v>40014531</v>
      </c>
      <c r="B145" s="123">
        <v>33</v>
      </c>
      <c r="C145" s="119" t="s">
        <v>26</v>
      </c>
      <c r="D145" s="123" t="s">
        <v>312</v>
      </c>
      <c r="E145" s="117">
        <v>426</v>
      </c>
      <c r="F145" s="118" t="s">
        <v>161</v>
      </c>
      <c r="G145" s="124" t="s">
        <v>396</v>
      </c>
      <c r="H145" s="118" t="s">
        <v>103</v>
      </c>
      <c r="I145" s="272" t="s">
        <v>163</v>
      </c>
      <c r="J145" s="117">
        <v>2020</v>
      </c>
      <c r="K145" s="117">
        <v>11090</v>
      </c>
      <c r="L145" s="164">
        <v>300000</v>
      </c>
      <c r="M145" s="118" t="s">
        <v>397</v>
      </c>
      <c r="N145" s="121" t="s">
        <v>238</v>
      </c>
      <c r="O145" s="170"/>
      <c r="P145" s="186"/>
      <c r="Q145" s="134">
        <f t="shared" si="8"/>
        <v>0</v>
      </c>
      <c r="R145" s="187"/>
      <c r="S145" s="186"/>
      <c r="T145" s="186"/>
      <c r="U145" s="183"/>
      <c r="V145" s="186"/>
      <c r="W145" s="186"/>
      <c r="X145" s="186"/>
      <c r="Y145" s="247"/>
      <c r="Z145" s="306"/>
      <c r="AA145" s="186"/>
      <c r="AB145" s="186"/>
      <c r="AC145" s="186"/>
    </row>
    <row r="146" spans="1:29" ht="48">
      <c r="A146" s="288">
        <v>40014719</v>
      </c>
      <c r="B146" s="123">
        <v>33</v>
      </c>
      <c r="C146" s="119" t="s">
        <v>26</v>
      </c>
      <c r="D146" s="123" t="s">
        <v>312</v>
      </c>
      <c r="E146" s="117">
        <v>427</v>
      </c>
      <c r="F146" s="118" t="s">
        <v>161</v>
      </c>
      <c r="G146" s="124" t="s">
        <v>398</v>
      </c>
      <c r="H146" s="118" t="s">
        <v>103</v>
      </c>
      <c r="I146" s="272" t="s">
        <v>217</v>
      </c>
      <c r="J146" s="117">
        <v>2020</v>
      </c>
      <c r="K146" s="117">
        <v>11090</v>
      </c>
      <c r="L146" s="164">
        <v>400000</v>
      </c>
      <c r="M146" s="118" t="s">
        <v>399</v>
      </c>
      <c r="N146" s="121" t="s">
        <v>238</v>
      </c>
      <c r="O146" s="170"/>
      <c r="P146" s="134"/>
      <c r="Q146" s="134">
        <f t="shared" si="8"/>
        <v>0</v>
      </c>
      <c r="R146" s="187"/>
      <c r="S146" s="186"/>
      <c r="T146" s="186"/>
      <c r="U146" s="312"/>
      <c r="V146" s="186"/>
      <c r="W146" s="186"/>
      <c r="X146" s="186"/>
      <c r="Y146" s="247"/>
      <c r="Z146" s="186"/>
      <c r="AA146" s="186"/>
      <c r="AB146" s="186"/>
      <c r="AC146" s="186"/>
    </row>
    <row r="147" spans="1:29" ht="60">
      <c r="A147" s="288">
        <v>40026857</v>
      </c>
      <c r="B147" s="123">
        <v>33</v>
      </c>
      <c r="C147" s="119" t="s">
        <v>26</v>
      </c>
      <c r="D147" s="123" t="s">
        <v>312</v>
      </c>
      <c r="E147" s="117">
        <v>429</v>
      </c>
      <c r="F147" s="118" t="s">
        <v>161</v>
      </c>
      <c r="G147" s="124" t="s">
        <v>400</v>
      </c>
      <c r="H147" s="118" t="s">
        <v>103</v>
      </c>
      <c r="I147" s="272" t="s">
        <v>163</v>
      </c>
      <c r="J147" s="117">
        <v>2020</v>
      </c>
      <c r="K147" s="117">
        <v>11090</v>
      </c>
      <c r="L147" s="164">
        <v>250000</v>
      </c>
      <c r="M147" s="118" t="s">
        <v>348</v>
      </c>
      <c r="N147" s="121" t="s">
        <v>238</v>
      </c>
      <c r="O147" s="170"/>
      <c r="P147" s="134"/>
      <c r="Q147" s="134">
        <f t="shared" si="8"/>
        <v>0</v>
      </c>
      <c r="R147" s="134"/>
      <c r="S147" s="134"/>
      <c r="T147" s="134"/>
      <c r="U147" s="134"/>
      <c r="V147" s="134"/>
      <c r="W147" s="134"/>
      <c r="X147" s="134"/>
      <c r="Y147" s="170"/>
      <c r="Z147" s="134"/>
      <c r="AA147" s="134"/>
      <c r="AB147" s="134"/>
      <c r="AC147" s="134"/>
    </row>
    <row r="148" spans="1:29" ht="24">
      <c r="A148" s="288">
        <v>40014432</v>
      </c>
      <c r="B148" s="117">
        <v>33</v>
      </c>
      <c r="C148" s="119" t="s">
        <v>26</v>
      </c>
      <c r="D148" s="123" t="s">
        <v>312</v>
      </c>
      <c r="E148" s="80">
        <v>430</v>
      </c>
      <c r="F148" s="118" t="s">
        <v>161</v>
      </c>
      <c r="G148" s="124" t="s">
        <v>401</v>
      </c>
      <c r="H148" s="118" t="s">
        <v>103</v>
      </c>
      <c r="I148" s="272" t="s">
        <v>173</v>
      </c>
      <c r="J148" s="117">
        <v>2021</v>
      </c>
      <c r="K148" s="117">
        <v>11384</v>
      </c>
      <c r="L148" s="172">
        <v>3488542</v>
      </c>
      <c r="M148" s="124" t="s">
        <v>199</v>
      </c>
      <c r="N148" s="121" t="s">
        <v>161</v>
      </c>
      <c r="O148" s="170">
        <v>392000</v>
      </c>
      <c r="P148" s="134"/>
      <c r="Q148" s="134">
        <f t="shared" si="8"/>
        <v>221164.01730000001</v>
      </c>
      <c r="R148" s="134"/>
      <c r="S148" s="134"/>
      <c r="T148" s="134"/>
      <c r="U148" s="134"/>
      <c r="V148" s="134"/>
      <c r="W148" s="134"/>
      <c r="X148" s="134">
        <v>62277.043299999998</v>
      </c>
      <c r="Y148" s="170"/>
      <c r="Z148" s="134">
        <v>155043.52600000001</v>
      </c>
      <c r="AA148" s="134">
        <v>3843.4479999999999</v>
      </c>
      <c r="AB148" s="134"/>
      <c r="AC148" s="134"/>
    </row>
    <row r="149" spans="1:29">
      <c r="A149" s="290">
        <v>40024788</v>
      </c>
      <c r="B149" s="123">
        <v>33</v>
      </c>
      <c r="C149" s="119" t="s">
        <v>26</v>
      </c>
      <c r="D149" s="123" t="s">
        <v>312</v>
      </c>
      <c r="E149" s="123">
        <v>431</v>
      </c>
      <c r="F149" s="118" t="s">
        <v>161</v>
      </c>
      <c r="G149" s="124" t="s">
        <v>402</v>
      </c>
      <c r="H149" s="118" t="s">
        <v>103</v>
      </c>
      <c r="I149" s="272" t="s">
        <v>163</v>
      </c>
      <c r="J149" s="117">
        <v>2020</v>
      </c>
      <c r="K149" s="117">
        <v>10766</v>
      </c>
      <c r="L149" s="136">
        <v>2009200</v>
      </c>
      <c r="M149" s="118" t="s">
        <v>395</v>
      </c>
      <c r="N149" s="121" t="s">
        <v>238</v>
      </c>
      <c r="O149" s="170"/>
      <c r="P149" s="134"/>
      <c r="Q149" s="134">
        <f t="shared" si="8"/>
        <v>0</v>
      </c>
      <c r="R149" s="134"/>
      <c r="S149" s="134"/>
      <c r="T149" s="134"/>
      <c r="U149" s="134"/>
      <c r="V149" s="134"/>
      <c r="W149" s="134"/>
      <c r="X149" s="134"/>
      <c r="Y149" s="170"/>
      <c r="Z149" s="134"/>
      <c r="AA149" s="134"/>
      <c r="AB149" s="134"/>
      <c r="AC149" s="134"/>
    </row>
    <row r="150" spans="1:29" ht="36">
      <c r="A150" s="290">
        <v>40009309</v>
      </c>
      <c r="B150" s="123">
        <v>33</v>
      </c>
      <c r="C150" s="119" t="s">
        <v>26</v>
      </c>
      <c r="D150" s="123" t="s">
        <v>312</v>
      </c>
      <c r="E150" s="123">
        <v>432</v>
      </c>
      <c r="F150" s="118" t="s">
        <v>161</v>
      </c>
      <c r="G150" s="124" t="s">
        <v>403</v>
      </c>
      <c r="H150" s="118" t="s">
        <v>103</v>
      </c>
      <c r="I150" s="272" t="s">
        <v>371</v>
      </c>
      <c r="J150" s="117">
        <v>2019</v>
      </c>
      <c r="K150" s="117">
        <v>10023</v>
      </c>
      <c r="L150" s="136">
        <v>1000000</v>
      </c>
      <c r="M150" s="173" t="s">
        <v>404</v>
      </c>
      <c r="N150" s="121" t="s">
        <v>161</v>
      </c>
      <c r="O150" s="170">
        <v>246598</v>
      </c>
      <c r="P150" s="134"/>
      <c r="Q150" s="134">
        <f t="shared" si="8"/>
        <v>68105.682000000001</v>
      </c>
      <c r="R150" s="134"/>
      <c r="S150" s="134"/>
      <c r="T150" s="134"/>
      <c r="U150" s="134"/>
      <c r="V150" s="134"/>
      <c r="W150" s="134"/>
      <c r="X150" s="134">
        <v>8784.0239999999994</v>
      </c>
      <c r="Y150" s="170"/>
      <c r="Z150" s="134"/>
      <c r="AA150" s="170">
        <v>59321.658000000003</v>
      </c>
      <c r="AB150" s="134"/>
      <c r="AC150" s="134"/>
    </row>
    <row r="151" spans="1:29" ht="24">
      <c r="A151" s="288">
        <v>40029266</v>
      </c>
      <c r="B151" s="117">
        <v>33</v>
      </c>
      <c r="C151" s="119" t="s">
        <v>26</v>
      </c>
      <c r="D151" s="123" t="s">
        <v>312</v>
      </c>
      <c r="E151" s="80">
        <v>433</v>
      </c>
      <c r="F151" s="118" t="s">
        <v>161</v>
      </c>
      <c r="G151" s="124" t="s">
        <v>405</v>
      </c>
      <c r="H151" s="118" t="s">
        <v>103</v>
      </c>
      <c r="I151" s="272" t="s">
        <v>163</v>
      </c>
      <c r="J151" s="117">
        <v>2021</v>
      </c>
      <c r="K151" s="117">
        <v>11296</v>
      </c>
      <c r="L151" s="172">
        <v>2800000</v>
      </c>
      <c r="M151" s="124" t="s">
        <v>348</v>
      </c>
      <c r="N151" s="121" t="s">
        <v>161</v>
      </c>
      <c r="O151" s="170">
        <v>200002</v>
      </c>
      <c r="P151" s="134"/>
      <c r="Q151" s="134">
        <f t="shared" si="8"/>
        <v>0</v>
      </c>
      <c r="R151" s="134"/>
      <c r="S151" s="134"/>
      <c r="T151" s="134"/>
      <c r="U151" s="134"/>
      <c r="V151" s="134"/>
      <c r="W151" s="134"/>
      <c r="X151" s="134"/>
      <c r="Y151" s="170"/>
      <c r="Z151" s="174"/>
      <c r="AA151" s="134"/>
      <c r="AB151" s="134"/>
      <c r="AC151" s="134"/>
    </row>
    <row r="152" spans="1:29" ht="36">
      <c r="A152" s="288">
        <v>40024839</v>
      </c>
      <c r="B152" s="117">
        <v>33</v>
      </c>
      <c r="C152" s="119" t="s">
        <v>26</v>
      </c>
      <c r="D152" s="123" t="s">
        <v>312</v>
      </c>
      <c r="E152" s="123">
        <v>434</v>
      </c>
      <c r="F152" s="118" t="s">
        <v>161</v>
      </c>
      <c r="G152" s="124" t="s">
        <v>406</v>
      </c>
      <c r="H152" s="118" t="s">
        <v>103</v>
      </c>
      <c r="I152" s="272" t="s">
        <v>407</v>
      </c>
      <c r="J152" s="117">
        <v>2020</v>
      </c>
      <c r="K152" s="117">
        <v>10766</v>
      </c>
      <c r="L152" s="172">
        <v>349800</v>
      </c>
      <c r="M152" s="173" t="s">
        <v>408</v>
      </c>
      <c r="N152" s="121" t="s">
        <v>238</v>
      </c>
      <c r="O152" s="170"/>
      <c r="P152" s="134"/>
      <c r="Q152" s="134">
        <f t="shared" si="8"/>
        <v>0</v>
      </c>
      <c r="R152" s="134"/>
      <c r="S152" s="134"/>
      <c r="T152" s="134"/>
      <c r="U152" s="134"/>
      <c r="V152" s="134"/>
      <c r="W152" s="134"/>
      <c r="X152" s="134"/>
      <c r="Y152" s="170"/>
      <c r="Z152" s="134"/>
      <c r="AA152" s="134"/>
      <c r="AB152" s="134"/>
      <c r="AC152" s="134"/>
    </row>
    <row r="153" spans="1:29" ht="24">
      <c r="A153" s="290">
        <v>40040997</v>
      </c>
      <c r="B153" s="123">
        <v>33</v>
      </c>
      <c r="C153" s="119" t="s">
        <v>26</v>
      </c>
      <c r="D153" s="123" t="s">
        <v>312</v>
      </c>
      <c r="E153" s="135">
        <v>436</v>
      </c>
      <c r="F153" s="118" t="s">
        <v>161</v>
      </c>
      <c r="G153" s="124" t="s">
        <v>409</v>
      </c>
      <c r="H153" s="118" t="s">
        <v>103</v>
      </c>
      <c r="I153" s="272" t="s">
        <v>219</v>
      </c>
      <c r="J153" s="117">
        <v>2022</v>
      </c>
      <c r="K153" s="117">
        <v>12111</v>
      </c>
      <c r="L153" s="136">
        <v>134800</v>
      </c>
      <c r="M153" s="118" t="s">
        <v>379</v>
      </c>
      <c r="N153" s="121" t="s">
        <v>161</v>
      </c>
      <c r="O153" s="170">
        <v>38100</v>
      </c>
      <c r="P153" s="134"/>
      <c r="Q153" s="134">
        <f t="shared" si="8"/>
        <v>0</v>
      </c>
      <c r="R153" s="134"/>
      <c r="S153" s="134"/>
      <c r="T153" s="134"/>
      <c r="U153" s="134"/>
      <c r="V153" s="134"/>
      <c r="W153" s="134"/>
      <c r="X153" s="134"/>
      <c r="Y153" s="170"/>
      <c r="Z153" s="134"/>
      <c r="AA153" s="134"/>
      <c r="AB153" s="134"/>
      <c r="AC153" s="134"/>
    </row>
    <row r="154" spans="1:29" ht="24">
      <c r="A154" s="290">
        <v>40040998</v>
      </c>
      <c r="B154" s="123">
        <v>33</v>
      </c>
      <c r="C154" s="119" t="s">
        <v>26</v>
      </c>
      <c r="D154" s="123" t="s">
        <v>312</v>
      </c>
      <c r="E154" s="135">
        <v>437</v>
      </c>
      <c r="F154" s="118" t="s">
        <v>161</v>
      </c>
      <c r="G154" s="124" t="s">
        <v>410</v>
      </c>
      <c r="H154" s="118" t="s">
        <v>103</v>
      </c>
      <c r="I154" s="272" t="s">
        <v>219</v>
      </c>
      <c r="J154" s="117">
        <v>2022</v>
      </c>
      <c r="K154" s="117">
        <v>12111</v>
      </c>
      <c r="L154" s="136">
        <v>134980</v>
      </c>
      <c r="M154" s="118" t="s">
        <v>379</v>
      </c>
      <c r="N154" s="121" t="s">
        <v>161</v>
      </c>
      <c r="O154" s="170">
        <v>41980</v>
      </c>
      <c r="P154" s="134"/>
      <c r="Q154" s="134">
        <f t="shared" si="8"/>
        <v>0</v>
      </c>
      <c r="R154" s="134"/>
      <c r="S154" s="134"/>
      <c r="T154" s="134"/>
      <c r="U154" s="134"/>
      <c r="V154" s="134"/>
      <c r="W154" s="134"/>
      <c r="X154" s="134"/>
      <c r="Y154" s="170"/>
      <c r="Z154" s="134"/>
      <c r="AA154" s="134"/>
      <c r="AB154" s="134"/>
      <c r="AC154" s="134"/>
    </row>
    <row r="155" spans="1:29" ht="24">
      <c r="A155" s="290">
        <v>40041008</v>
      </c>
      <c r="B155" s="123">
        <v>33</v>
      </c>
      <c r="C155" s="119" t="s">
        <v>26</v>
      </c>
      <c r="D155" s="123" t="s">
        <v>312</v>
      </c>
      <c r="E155" s="135">
        <v>438</v>
      </c>
      <c r="F155" s="118" t="s">
        <v>161</v>
      </c>
      <c r="G155" s="124" t="s">
        <v>411</v>
      </c>
      <c r="H155" s="118" t="s">
        <v>103</v>
      </c>
      <c r="I155" s="272" t="s">
        <v>219</v>
      </c>
      <c r="J155" s="117">
        <v>2022</v>
      </c>
      <c r="K155" s="117">
        <v>12111</v>
      </c>
      <c r="L155" s="136">
        <v>133980</v>
      </c>
      <c r="M155" s="118" t="s">
        <v>379</v>
      </c>
      <c r="N155" s="121" t="s">
        <v>161</v>
      </c>
      <c r="O155" s="170">
        <v>30880</v>
      </c>
      <c r="P155" s="134"/>
      <c r="Q155" s="134">
        <f t="shared" si="8"/>
        <v>0</v>
      </c>
      <c r="R155" s="134"/>
      <c r="S155" s="134"/>
      <c r="T155" s="134"/>
      <c r="U155" s="134"/>
      <c r="V155" s="134"/>
      <c r="W155" s="134"/>
      <c r="X155" s="134"/>
      <c r="Y155" s="170"/>
      <c r="Z155" s="134"/>
      <c r="AA155" s="134"/>
      <c r="AB155" s="134"/>
      <c r="AC155" s="170"/>
    </row>
    <row r="156" spans="1:29" ht="24">
      <c r="A156" s="290">
        <v>40041011</v>
      </c>
      <c r="B156" s="123">
        <v>33</v>
      </c>
      <c r="C156" s="119" t="s">
        <v>26</v>
      </c>
      <c r="D156" s="123" t="s">
        <v>312</v>
      </c>
      <c r="E156" s="135">
        <v>439</v>
      </c>
      <c r="F156" s="118" t="s">
        <v>161</v>
      </c>
      <c r="G156" s="124" t="s">
        <v>412</v>
      </c>
      <c r="H156" s="118" t="s">
        <v>103</v>
      </c>
      <c r="I156" s="272" t="s">
        <v>219</v>
      </c>
      <c r="J156" s="117">
        <v>2022</v>
      </c>
      <c r="K156" s="117">
        <v>12111</v>
      </c>
      <c r="L156" s="136">
        <v>134040</v>
      </c>
      <c r="M156" s="118" t="s">
        <v>379</v>
      </c>
      <c r="N156" s="121" t="s">
        <v>161</v>
      </c>
      <c r="O156" s="170">
        <v>20650</v>
      </c>
      <c r="P156" s="134"/>
      <c r="Q156" s="134">
        <f t="shared" si="8"/>
        <v>0</v>
      </c>
      <c r="R156" s="134"/>
      <c r="S156" s="134"/>
      <c r="T156" s="134"/>
      <c r="U156" s="134"/>
      <c r="V156" s="134"/>
      <c r="W156" s="134"/>
      <c r="X156" s="134"/>
      <c r="Y156" s="170"/>
      <c r="Z156" s="134"/>
      <c r="AA156" s="134"/>
      <c r="AB156" s="134"/>
      <c r="AC156" s="170"/>
    </row>
    <row r="157" spans="1:29" ht="24">
      <c r="A157" s="290">
        <v>40041014</v>
      </c>
      <c r="B157" s="123">
        <v>33</v>
      </c>
      <c r="C157" s="119" t="s">
        <v>26</v>
      </c>
      <c r="D157" s="123" t="s">
        <v>312</v>
      </c>
      <c r="E157" s="135">
        <v>440</v>
      </c>
      <c r="F157" s="118" t="s">
        <v>161</v>
      </c>
      <c r="G157" s="124" t="s">
        <v>413</v>
      </c>
      <c r="H157" s="118" t="s">
        <v>103</v>
      </c>
      <c r="I157" s="272" t="s">
        <v>414</v>
      </c>
      <c r="J157" s="117">
        <v>2022</v>
      </c>
      <c r="K157" s="117">
        <v>12111</v>
      </c>
      <c r="L157" s="136">
        <v>132120</v>
      </c>
      <c r="M157" s="118" t="s">
        <v>379</v>
      </c>
      <c r="N157" s="121" t="s">
        <v>161</v>
      </c>
      <c r="O157" s="170">
        <v>31890</v>
      </c>
      <c r="P157" s="134"/>
      <c r="Q157" s="134">
        <f t="shared" si="8"/>
        <v>0</v>
      </c>
      <c r="R157" s="134"/>
      <c r="S157" s="134"/>
      <c r="T157" s="134"/>
      <c r="U157" s="134"/>
      <c r="V157" s="134"/>
      <c r="W157" s="134"/>
      <c r="X157" s="134"/>
      <c r="Y157" s="170"/>
      <c r="Z157" s="134"/>
      <c r="AA157" s="134"/>
      <c r="AB157" s="134"/>
      <c r="AC157" s="170"/>
    </row>
    <row r="158" spans="1:29" ht="24">
      <c r="A158" s="290">
        <v>40041015</v>
      </c>
      <c r="B158" s="123">
        <v>33</v>
      </c>
      <c r="C158" s="119" t="s">
        <v>26</v>
      </c>
      <c r="D158" s="123" t="s">
        <v>312</v>
      </c>
      <c r="E158" s="135">
        <v>441</v>
      </c>
      <c r="F158" s="118" t="s">
        <v>161</v>
      </c>
      <c r="G158" s="124" t="s">
        <v>415</v>
      </c>
      <c r="H158" s="118" t="s">
        <v>103</v>
      </c>
      <c r="I158" s="272" t="s">
        <v>414</v>
      </c>
      <c r="J158" s="117">
        <v>2022</v>
      </c>
      <c r="K158" s="117">
        <v>12111</v>
      </c>
      <c r="L158" s="136">
        <v>104350</v>
      </c>
      <c r="M158" s="118" t="s">
        <v>379</v>
      </c>
      <c r="N158" s="121" t="s">
        <v>161</v>
      </c>
      <c r="O158" s="170">
        <v>41740</v>
      </c>
      <c r="P158" s="134"/>
      <c r="Q158" s="134">
        <f t="shared" si="8"/>
        <v>0</v>
      </c>
      <c r="R158" s="134"/>
      <c r="S158" s="134"/>
      <c r="T158" s="134"/>
      <c r="U158" s="134"/>
      <c r="V158" s="134"/>
      <c r="W158" s="134"/>
      <c r="X158" s="134"/>
      <c r="Y158" s="170"/>
      <c r="Z158" s="134"/>
      <c r="AA158" s="134"/>
      <c r="AB158" s="134"/>
      <c r="AC158" s="170"/>
    </row>
    <row r="159" spans="1:29" ht="36">
      <c r="A159" s="290">
        <v>40041019</v>
      </c>
      <c r="B159" s="123">
        <v>33</v>
      </c>
      <c r="C159" s="119" t="s">
        <v>26</v>
      </c>
      <c r="D159" s="123" t="s">
        <v>312</v>
      </c>
      <c r="E159" s="135">
        <v>442</v>
      </c>
      <c r="F159" s="118" t="s">
        <v>161</v>
      </c>
      <c r="G159" s="124" t="s">
        <v>416</v>
      </c>
      <c r="H159" s="118" t="s">
        <v>103</v>
      </c>
      <c r="I159" s="272" t="s">
        <v>310</v>
      </c>
      <c r="J159" s="117">
        <v>2022</v>
      </c>
      <c r="K159" s="117">
        <v>12111</v>
      </c>
      <c r="L159" s="136">
        <v>126000</v>
      </c>
      <c r="M159" s="118" t="s">
        <v>379</v>
      </c>
      <c r="N159" s="121" t="s">
        <v>161</v>
      </c>
      <c r="O159" s="170">
        <v>31500</v>
      </c>
      <c r="P159" s="134"/>
      <c r="Q159" s="134">
        <f t="shared" si="8"/>
        <v>0</v>
      </c>
      <c r="R159" s="134"/>
      <c r="S159" s="134"/>
      <c r="T159" s="134"/>
      <c r="U159" s="134"/>
      <c r="V159" s="134"/>
      <c r="W159" s="134"/>
      <c r="X159" s="134"/>
      <c r="Y159" s="170"/>
      <c r="Z159" s="134"/>
      <c r="AA159" s="134"/>
      <c r="AB159" s="134"/>
      <c r="AC159" s="134"/>
    </row>
    <row r="160" spans="1:29" ht="36">
      <c r="A160" s="290">
        <v>40041035</v>
      </c>
      <c r="B160" s="123">
        <v>33</v>
      </c>
      <c r="C160" s="119" t="s">
        <v>26</v>
      </c>
      <c r="D160" s="123" t="s">
        <v>312</v>
      </c>
      <c r="E160" s="135">
        <v>443</v>
      </c>
      <c r="F160" s="118" t="s">
        <v>161</v>
      </c>
      <c r="G160" s="124" t="s">
        <v>417</v>
      </c>
      <c r="H160" s="118" t="s">
        <v>103</v>
      </c>
      <c r="I160" s="272" t="s">
        <v>207</v>
      </c>
      <c r="J160" s="117">
        <v>2022</v>
      </c>
      <c r="K160" s="117">
        <v>12111</v>
      </c>
      <c r="L160" s="136">
        <v>127295</v>
      </c>
      <c r="M160" s="118" t="s">
        <v>418</v>
      </c>
      <c r="N160" s="121" t="s">
        <v>161</v>
      </c>
      <c r="O160" s="170">
        <v>60736</v>
      </c>
      <c r="P160" s="134"/>
      <c r="Q160" s="134">
        <f t="shared" si="8"/>
        <v>11720.28</v>
      </c>
      <c r="R160" s="134"/>
      <c r="S160" s="134"/>
      <c r="T160" s="134"/>
      <c r="U160" s="134"/>
      <c r="V160" s="134"/>
      <c r="W160" s="134"/>
      <c r="X160" s="134"/>
      <c r="Y160" s="170">
        <v>11720.28</v>
      </c>
      <c r="Z160" s="134"/>
      <c r="AA160" s="134"/>
      <c r="AB160" s="134"/>
      <c r="AC160" s="134"/>
    </row>
    <row r="161" spans="1:29" ht="24">
      <c r="A161" s="290">
        <v>40041149</v>
      </c>
      <c r="B161" s="123">
        <v>33</v>
      </c>
      <c r="C161" s="119" t="s">
        <v>26</v>
      </c>
      <c r="D161" s="123" t="s">
        <v>312</v>
      </c>
      <c r="E161" s="135">
        <v>444</v>
      </c>
      <c r="F161" s="118" t="s">
        <v>161</v>
      </c>
      <c r="G161" s="124" t="s">
        <v>419</v>
      </c>
      <c r="H161" s="118" t="s">
        <v>103</v>
      </c>
      <c r="I161" s="272" t="s">
        <v>414</v>
      </c>
      <c r="J161" s="117">
        <v>2022</v>
      </c>
      <c r="K161" s="117">
        <v>12111</v>
      </c>
      <c r="L161" s="136">
        <v>120274</v>
      </c>
      <c r="M161" s="118" t="s">
        <v>379</v>
      </c>
      <c r="N161" s="121" t="s">
        <v>161</v>
      </c>
      <c r="O161" s="170">
        <v>28817</v>
      </c>
      <c r="P161" s="134"/>
      <c r="Q161" s="134">
        <f t="shared" si="8"/>
        <v>24227.233</v>
      </c>
      <c r="R161" s="134"/>
      <c r="S161" s="134"/>
      <c r="T161" s="134"/>
      <c r="U161" s="134"/>
      <c r="V161" s="134"/>
      <c r="W161" s="134">
        <v>7633.3530000000001</v>
      </c>
      <c r="X161" s="134"/>
      <c r="Y161" s="170"/>
      <c r="Z161" s="134">
        <v>4511.3440000000001</v>
      </c>
      <c r="AA161" s="134">
        <v>12082.536</v>
      </c>
      <c r="AB161" s="134"/>
      <c r="AC161" s="170"/>
    </row>
    <row r="162" spans="1:29" ht="36">
      <c r="A162" s="290">
        <v>40041156</v>
      </c>
      <c r="B162" s="123">
        <v>33</v>
      </c>
      <c r="C162" s="119" t="s">
        <v>26</v>
      </c>
      <c r="D162" s="123" t="s">
        <v>312</v>
      </c>
      <c r="E162" s="135">
        <v>445</v>
      </c>
      <c r="F162" s="118" t="s">
        <v>161</v>
      </c>
      <c r="G162" s="124" t="s">
        <v>420</v>
      </c>
      <c r="H162" s="118" t="s">
        <v>103</v>
      </c>
      <c r="I162" s="272" t="s">
        <v>310</v>
      </c>
      <c r="J162" s="117">
        <v>2022</v>
      </c>
      <c r="K162" s="117">
        <v>12150</v>
      </c>
      <c r="L162" s="136">
        <v>134704</v>
      </c>
      <c r="M162" s="118" t="s">
        <v>421</v>
      </c>
      <c r="N162" s="121" t="s">
        <v>161</v>
      </c>
      <c r="O162" s="170">
        <v>16233</v>
      </c>
      <c r="P162" s="134"/>
      <c r="Q162" s="134">
        <f t="shared" si="8"/>
        <v>0</v>
      </c>
      <c r="R162" s="134"/>
      <c r="S162" s="134"/>
      <c r="T162" s="134"/>
      <c r="U162" s="134"/>
      <c r="V162" s="134"/>
      <c r="W162" s="134"/>
      <c r="X162" s="134"/>
      <c r="Y162" s="170"/>
      <c r="Z162" s="134"/>
      <c r="AA162" s="134"/>
      <c r="AB162" s="134"/>
      <c r="AC162" s="134"/>
    </row>
    <row r="163" spans="1:29" ht="24">
      <c r="A163" s="290">
        <v>40041158</v>
      </c>
      <c r="B163" s="123">
        <v>33</v>
      </c>
      <c r="C163" s="119" t="s">
        <v>26</v>
      </c>
      <c r="D163" s="123" t="s">
        <v>312</v>
      </c>
      <c r="E163" s="135">
        <v>446</v>
      </c>
      <c r="F163" s="118" t="s">
        <v>161</v>
      </c>
      <c r="G163" s="124" t="s">
        <v>422</v>
      </c>
      <c r="H163" s="118" t="s">
        <v>103</v>
      </c>
      <c r="I163" s="272" t="s">
        <v>219</v>
      </c>
      <c r="J163" s="117">
        <v>2022</v>
      </c>
      <c r="K163" s="117">
        <v>12150</v>
      </c>
      <c r="L163" s="136">
        <v>134120</v>
      </c>
      <c r="M163" s="118" t="s">
        <v>379</v>
      </c>
      <c r="N163" s="121" t="s">
        <v>161</v>
      </c>
      <c r="O163" s="170">
        <v>32380</v>
      </c>
      <c r="P163" s="134"/>
      <c r="Q163" s="134">
        <f t="shared" si="8"/>
        <v>0</v>
      </c>
      <c r="R163" s="134"/>
      <c r="S163" s="134"/>
      <c r="T163" s="134"/>
      <c r="U163" s="134"/>
      <c r="V163" s="134"/>
      <c r="W163" s="134"/>
      <c r="X163" s="134"/>
      <c r="Y163" s="170"/>
      <c r="Z163" s="134"/>
      <c r="AA163" s="134"/>
      <c r="AB163" s="134"/>
      <c r="AC163" s="170"/>
    </row>
    <row r="164" spans="1:29" ht="24">
      <c r="A164" s="290">
        <v>40041162</v>
      </c>
      <c r="B164" s="123">
        <v>33</v>
      </c>
      <c r="C164" s="119" t="s">
        <v>26</v>
      </c>
      <c r="D164" s="123" t="s">
        <v>312</v>
      </c>
      <c r="E164" s="135">
        <v>447</v>
      </c>
      <c r="F164" s="118" t="s">
        <v>161</v>
      </c>
      <c r="G164" s="124" t="s">
        <v>423</v>
      </c>
      <c r="H164" s="118" t="s">
        <v>103</v>
      </c>
      <c r="I164" s="272" t="s">
        <v>414</v>
      </c>
      <c r="J164" s="117">
        <v>2022</v>
      </c>
      <c r="K164" s="117">
        <v>12150</v>
      </c>
      <c r="L164" s="136">
        <v>127551</v>
      </c>
      <c r="M164" s="118" t="s">
        <v>379</v>
      </c>
      <c r="N164" s="121" t="s">
        <v>161</v>
      </c>
      <c r="O164" s="170">
        <v>33163</v>
      </c>
      <c r="P164" s="134"/>
      <c r="Q164" s="134">
        <f t="shared" si="8"/>
        <v>0</v>
      </c>
      <c r="R164" s="134"/>
      <c r="S164" s="134"/>
      <c r="T164" s="134"/>
      <c r="U164" s="134"/>
      <c r="V164" s="134"/>
      <c r="W164" s="134"/>
      <c r="X164" s="134"/>
      <c r="Y164" s="170"/>
      <c r="Z164" s="134"/>
      <c r="AA164" s="134"/>
      <c r="AB164" s="134"/>
      <c r="AC164" s="170"/>
    </row>
    <row r="165" spans="1:29" ht="24">
      <c r="A165" s="290">
        <v>40041168</v>
      </c>
      <c r="B165" s="123">
        <v>33</v>
      </c>
      <c r="C165" s="119" t="s">
        <v>26</v>
      </c>
      <c r="D165" s="123" t="s">
        <v>312</v>
      </c>
      <c r="E165" s="135">
        <v>448</v>
      </c>
      <c r="F165" s="118" t="s">
        <v>161</v>
      </c>
      <c r="G165" s="124" t="s">
        <v>424</v>
      </c>
      <c r="H165" s="118" t="s">
        <v>103</v>
      </c>
      <c r="I165" s="272" t="s">
        <v>414</v>
      </c>
      <c r="J165" s="117">
        <v>2022</v>
      </c>
      <c r="K165" s="117">
        <v>12150</v>
      </c>
      <c r="L165" s="136">
        <v>102556</v>
      </c>
      <c r="M165" s="118" t="s">
        <v>379</v>
      </c>
      <c r="N165" s="121" t="s">
        <v>161</v>
      </c>
      <c r="O165" s="170">
        <v>24598</v>
      </c>
      <c r="P165" s="134"/>
      <c r="Q165" s="134">
        <f t="shared" si="8"/>
        <v>11340.7</v>
      </c>
      <c r="R165" s="134"/>
      <c r="S165" s="134"/>
      <c r="T165" s="134"/>
      <c r="U165" s="134"/>
      <c r="V165" s="134"/>
      <c r="W165" s="134"/>
      <c r="X165" s="134"/>
      <c r="Y165" s="170">
        <v>11340.7</v>
      </c>
      <c r="Z165" s="134"/>
      <c r="AA165" s="134"/>
      <c r="AB165" s="134"/>
      <c r="AC165" s="134"/>
    </row>
    <row r="166" spans="1:29" ht="36">
      <c r="A166" s="290">
        <v>40043075</v>
      </c>
      <c r="B166" s="123">
        <v>33</v>
      </c>
      <c r="C166" s="119" t="s">
        <v>26</v>
      </c>
      <c r="D166" s="123" t="s">
        <v>312</v>
      </c>
      <c r="E166" s="135">
        <v>449</v>
      </c>
      <c r="F166" s="118" t="s">
        <v>161</v>
      </c>
      <c r="G166" s="124" t="s">
        <v>425</v>
      </c>
      <c r="H166" s="118" t="s">
        <v>103</v>
      </c>
      <c r="I166" s="272" t="s">
        <v>219</v>
      </c>
      <c r="J166" s="117">
        <v>2022</v>
      </c>
      <c r="K166" s="117">
        <v>12456</v>
      </c>
      <c r="L166" s="136">
        <v>1000000</v>
      </c>
      <c r="M166" s="117" t="s">
        <v>397</v>
      </c>
      <c r="N166" s="121" t="s">
        <v>161</v>
      </c>
      <c r="O166" s="170">
        <v>627401</v>
      </c>
      <c r="P166" s="134"/>
      <c r="Q166" s="134">
        <f t="shared" si="8"/>
        <v>39073.994000000006</v>
      </c>
      <c r="R166" s="134"/>
      <c r="S166" s="134"/>
      <c r="T166" s="134"/>
      <c r="U166" s="134"/>
      <c r="V166" s="134"/>
      <c r="W166" s="134"/>
      <c r="X166" s="134"/>
      <c r="Y166" s="170"/>
      <c r="Z166" s="134">
        <v>11910.7</v>
      </c>
      <c r="AA166" s="134">
        <v>27163.294000000002</v>
      </c>
      <c r="AB166" s="134"/>
      <c r="AC166" s="134"/>
    </row>
    <row r="167" spans="1:29" ht="36">
      <c r="A167" s="288">
        <v>40037922</v>
      </c>
      <c r="B167" s="136">
        <v>33</v>
      </c>
      <c r="C167" s="140" t="s">
        <v>26</v>
      </c>
      <c r="D167" s="123" t="s">
        <v>312</v>
      </c>
      <c r="E167" s="80">
        <v>450</v>
      </c>
      <c r="F167" s="251" t="s">
        <v>161</v>
      </c>
      <c r="G167" s="124" t="s">
        <v>426</v>
      </c>
      <c r="H167" s="251" t="s">
        <v>103</v>
      </c>
      <c r="I167" s="272" t="s">
        <v>163</v>
      </c>
      <c r="J167" s="117">
        <v>2022</v>
      </c>
      <c r="K167" s="117">
        <v>12354</v>
      </c>
      <c r="L167" s="172">
        <v>350978</v>
      </c>
      <c r="M167" s="124" t="s">
        <v>427</v>
      </c>
      <c r="N167" s="121" t="s">
        <v>161</v>
      </c>
      <c r="O167" s="170">
        <v>203321</v>
      </c>
      <c r="P167" s="134"/>
      <c r="Q167" s="134">
        <f t="shared" si="8"/>
        <v>84023.518000000011</v>
      </c>
      <c r="R167" s="134"/>
      <c r="S167" s="134"/>
      <c r="T167" s="134"/>
      <c r="U167" s="134"/>
      <c r="V167" s="134"/>
      <c r="W167" s="134">
        <v>50689.798000000003</v>
      </c>
      <c r="X167" s="134">
        <v>8472.8259999999991</v>
      </c>
      <c r="Y167" s="134"/>
      <c r="Z167" s="134"/>
      <c r="AA167" s="134">
        <v>24860.894</v>
      </c>
      <c r="AB167" s="134"/>
      <c r="AC167" s="134"/>
    </row>
    <row r="168" spans="1:29" ht="36">
      <c r="A168" s="290">
        <v>40041884</v>
      </c>
      <c r="B168" s="123">
        <v>33</v>
      </c>
      <c r="C168" s="119" t="s">
        <v>26</v>
      </c>
      <c r="D168" s="123" t="s">
        <v>312</v>
      </c>
      <c r="E168" s="135">
        <v>451</v>
      </c>
      <c r="F168" s="118" t="s">
        <v>161</v>
      </c>
      <c r="G168" s="124" t="s">
        <v>428</v>
      </c>
      <c r="H168" s="118" t="s">
        <v>103</v>
      </c>
      <c r="I168" s="272" t="s">
        <v>219</v>
      </c>
      <c r="J168" s="117">
        <v>2022</v>
      </c>
      <c r="K168" s="117">
        <v>12453</v>
      </c>
      <c r="L168" s="136">
        <v>250000</v>
      </c>
      <c r="M168" s="118" t="s">
        <v>348</v>
      </c>
      <c r="N168" s="121" t="s">
        <v>161</v>
      </c>
      <c r="O168" s="170">
        <v>2807</v>
      </c>
      <c r="P168" s="134"/>
      <c r="Q168" s="134">
        <f t="shared" si="8"/>
        <v>0</v>
      </c>
      <c r="R168" s="134"/>
      <c r="S168" s="134"/>
      <c r="T168" s="134"/>
      <c r="U168" s="134"/>
      <c r="V168" s="134"/>
      <c r="W168" s="134"/>
      <c r="X168" s="134"/>
      <c r="Y168" s="170"/>
      <c r="Z168" s="134"/>
      <c r="AA168" s="134"/>
      <c r="AB168" s="134"/>
      <c r="AC168" s="134"/>
    </row>
    <row r="169" spans="1:29" ht="24">
      <c r="A169" s="290">
        <v>40041885</v>
      </c>
      <c r="B169" s="123">
        <v>33</v>
      </c>
      <c r="C169" s="119" t="s">
        <v>26</v>
      </c>
      <c r="D169" s="123" t="s">
        <v>312</v>
      </c>
      <c r="E169" s="135">
        <v>452</v>
      </c>
      <c r="F169" s="118" t="s">
        <v>161</v>
      </c>
      <c r="G169" s="124" t="s">
        <v>429</v>
      </c>
      <c r="H169" s="118" t="s">
        <v>103</v>
      </c>
      <c r="I169" s="272" t="s">
        <v>414</v>
      </c>
      <c r="J169" s="117">
        <v>2022</v>
      </c>
      <c r="K169" s="117">
        <v>12453</v>
      </c>
      <c r="L169" s="136">
        <v>250000</v>
      </c>
      <c r="M169" s="118" t="s">
        <v>348</v>
      </c>
      <c r="N169" s="121" t="s">
        <v>161</v>
      </c>
      <c r="O169" s="170">
        <v>6221</v>
      </c>
      <c r="P169" s="134"/>
      <c r="Q169" s="134">
        <f t="shared" si="8"/>
        <v>0</v>
      </c>
      <c r="R169" s="134"/>
      <c r="S169" s="134"/>
      <c r="T169" s="134"/>
      <c r="U169" s="134"/>
      <c r="V169" s="134"/>
      <c r="W169" s="134"/>
      <c r="X169" s="134"/>
      <c r="Y169" s="170"/>
      <c r="Z169" s="134"/>
      <c r="AA169" s="134"/>
      <c r="AB169" s="134"/>
      <c r="AC169" s="134"/>
    </row>
    <row r="170" spans="1:29" ht="36">
      <c r="A170" s="290">
        <v>40041902</v>
      </c>
      <c r="B170" s="123">
        <v>33</v>
      </c>
      <c r="C170" s="119" t="s">
        <v>26</v>
      </c>
      <c r="D170" s="123" t="s">
        <v>312</v>
      </c>
      <c r="E170" s="135">
        <v>453</v>
      </c>
      <c r="F170" s="118" t="s">
        <v>161</v>
      </c>
      <c r="G170" s="124" t="s">
        <v>430</v>
      </c>
      <c r="H170" s="118" t="s">
        <v>103</v>
      </c>
      <c r="I170" s="272" t="s">
        <v>414</v>
      </c>
      <c r="J170" s="117">
        <v>2022</v>
      </c>
      <c r="K170" s="117">
        <v>12453</v>
      </c>
      <c r="L170" s="136">
        <v>250000</v>
      </c>
      <c r="M170" s="118" t="s">
        <v>348</v>
      </c>
      <c r="N170" s="121" t="s">
        <v>161</v>
      </c>
      <c r="O170" s="170">
        <v>3841</v>
      </c>
      <c r="P170" s="134"/>
      <c r="Q170" s="134">
        <f t="shared" si="8"/>
        <v>0</v>
      </c>
      <c r="R170" s="134"/>
      <c r="S170" s="134"/>
      <c r="T170" s="134"/>
      <c r="U170" s="134"/>
      <c r="V170" s="134"/>
      <c r="W170" s="134"/>
      <c r="X170" s="134"/>
      <c r="Y170" s="170"/>
      <c r="Z170" s="134"/>
      <c r="AA170" s="134"/>
      <c r="AB170" s="134"/>
      <c r="AC170" s="170"/>
    </row>
    <row r="171" spans="1:29" ht="36">
      <c r="A171" s="288">
        <v>40036815</v>
      </c>
      <c r="B171" s="136">
        <v>33</v>
      </c>
      <c r="C171" s="140" t="s">
        <v>26</v>
      </c>
      <c r="D171" s="123" t="s">
        <v>312</v>
      </c>
      <c r="E171" s="80">
        <v>454</v>
      </c>
      <c r="F171" s="251" t="s">
        <v>161</v>
      </c>
      <c r="G171" s="124" t="s">
        <v>431</v>
      </c>
      <c r="H171" s="251" t="s">
        <v>103</v>
      </c>
      <c r="I171" s="272" t="s">
        <v>310</v>
      </c>
      <c r="J171" s="117">
        <v>2022</v>
      </c>
      <c r="K171" s="117">
        <v>12542</v>
      </c>
      <c r="L171" s="172">
        <v>1068404</v>
      </c>
      <c r="M171" s="124" t="s">
        <v>388</v>
      </c>
      <c r="N171" s="121" t="s">
        <v>161</v>
      </c>
      <c r="O171" s="170">
        <v>891312</v>
      </c>
      <c r="P171" s="134"/>
      <c r="Q171" s="134">
        <f t="shared" si="8"/>
        <v>302060.46299999999</v>
      </c>
      <c r="R171" s="134"/>
      <c r="S171" s="134"/>
      <c r="T171" s="134"/>
      <c r="U171" s="134"/>
      <c r="V171" s="134"/>
      <c r="W171" s="134"/>
      <c r="X171" s="134"/>
      <c r="Y171" s="134"/>
      <c r="Z171" s="134">
        <v>235304.12899999999</v>
      </c>
      <c r="AA171" s="134">
        <v>66756.334000000003</v>
      </c>
      <c r="AB171" s="134"/>
      <c r="AC171" s="134"/>
    </row>
    <row r="172" spans="1:29" ht="36">
      <c r="A172" s="288">
        <v>40047416</v>
      </c>
      <c r="B172" s="136">
        <v>33</v>
      </c>
      <c r="C172" s="140" t="s">
        <v>26</v>
      </c>
      <c r="D172" s="123" t="s">
        <v>312</v>
      </c>
      <c r="E172" s="80">
        <v>456</v>
      </c>
      <c r="F172" s="251" t="s">
        <v>161</v>
      </c>
      <c r="G172" s="124" t="s">
        <v>432</v>
      </c>
      <c r="H172" s="251" t="s">
        <v>103</v>
      </c>
      <c r="I172" s="272" t="s">
        <v>163</v>
      </c>
      <c r="J172" s="117">
        <v>2022</v>
      </c>
      <c r="K172" s="117">
        <v>12964</v>
      </c>
      <c r="L172" s="172">
        <v>78191</v>
      </c>
      <c r="M172" s="118" t="s">
        <v>433</v>
      </c>
      <c r="N172" s="121" t="s">
        <v>161</v>
      </c>
      <c r="O172" s="170"/>
      <c r="P172" s="134"/>
      <c r="Q172" s="134">
        <f t="shared" ref="Q172" si="9">SUM(R172:AC172)</f>
        <v>0</v>
      </c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</row>
    <row r="173" spans="1:29" ht="48">
      <c r="A173" s="289">
        <v>40036472</v>
      </c>
      <c r="B173" s="123">
        <v>33</v>
      </c>
      <c r="C173" s="119" t="s">
        <v>26</v>
      </c>
      <c r="D173" s="123" t="s">
        <v>312</v>
      </c>
      <c r="E173" s="260">
        <v>457</v>
      </c>
      <c r="F173" s="118" t="s">
        <v>161</v>
      </c>
      <c r="G173" s="272" t="s">
        <v>434</v>
      </c>
      <c r="H173" s="251" t="s">
        <v>103</v>
      </c>
      <c r="I173" s="272" t="s">
        <v>435</v>
      </c>
      <c r="J173" s="117">
        <v>2023</v>
      </c>
      <c r="K173" s="117">
        <v>13095</v>
      </c>
      <c r="L173" s="172">
        <v>1598200</v>
      </c>
      <c r="M173" s="118" t="s">
        <v>436</v>
      </c>
      <c r="N173" s="121" t="s">
        <v>325</v>
      </c>
      <c r="O173" s="170">
        <v>1079800</v>
      </c>
      <c r="P173" s="170"/>
      <c r="Q173" s="134">
        <f t="shared" si="8"/>
        <v>0</v>
      </c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</row>
    <row r="174" spans="1:29" ht="48">
      <c r="A174" s="289">
        <v>40056103</v>
      </c>
      <c r="B174" s="123">
        <v>33</v>
      </c>
      <c r="C174" s="119" t="s">
        <v>26</v>
      </c>
      <c r="D174" s="123"/>
      <c r="E174" s="117">
        <v>460</v>
      </c>
      <c r="F174" s="118" t="s">
        <v>161</v>
      </c>
      <c r="G174" s="272" t="s">
        <v>437</v>
      </c>
      <c r="H174" s="251" t="s">
        <v>103</v>
      </c>
      <c r="I174" s="118" t="s">
        <v>371</v>
      </c>
      <c r="J174" s="117">
        <v>2023</v>
      </c>
      <c r="K174" s="117">
        <v>13478</v>
      </c>
      <c r="L174" s="172">
        <v>154723</v>
      </c>
      <c r="M174" s="118" t="s">
        <v>379</v>
      </c>
      <c r="N174" s="121" t="s">
        <v>354</v>
      </c>
      <c r="O174" s="170">
        <v>154723</v>
      </c>
      <c r="P174" s="170"/>
      <c r="Q174" s="134">
        <f t="shared" si="8"/>
        <v>0</v>
      </c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</row>
    <row r="175" spans="1:29" ht="60">
      <c r="A175" s="289">
        <v>40055713</v>
      </c>
      <c r="B175" s="123">
        <v>33</v>
      </c>
      <c r="C175" s="119" t="s">
        <v>26</v>
      </c>
      <c r="D175" s="123"/>
      <c r="E175" s="117">
        <v>461</v>
      </c>
      <c r="F175" s="118" t="s">
        <v>161</v>
      </c>
      <c r="G175" s="272" t="s">
        <v>438</v>
      </c>
      <c r="H175" s="251" t="s">
        <v>103</v>
      </c>
      <c r="I175" s="118" t="s">
        <v>163</v>
      </c>
      <c r="J175" s="117">
        <v>2023</v>
      </c>
      <c r="K175" s="117">
        <v>13568</v>
      </c>
      <c r="L175" s="172">
        <v>447200</v>
      </c>
      <c r="M175" s="118" t="s">
        <v>395</v>
      </c>
      <c r="N175" s="121" t="s">
        <v>287</v>
      </c>
      <c r="O175" s="170">
        <v>178880</v>
      </c>
      <c r="P175" s="170"/>
      <c r="Q175" s="134">
        <f t="shared" si="8"/>
        <v>0</v>
      </c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</row>
    <row r="176" spans="1:29" ht="36">
      <c r="A176" s="289">
        <v>40046475</v>
      </c>
      <c r="B176" s="123">
        <v>33</v>
      </c>
      <c r="C176" s="119" t="s">
        <v>26</v>
      </c>
      <c r="D176" s="123"/>
      <c r="E176" s="117">
        <v>462</v>
      </c>
      <c r="F176" s="118" t="s">
        <v>161</v>
      </c>
      <c r="G176" s="272" t="s">
        <v>439</v>
      </c>
      <c r="H176" s="251" t="s">
        <v>103</v>
      </c>
      <c r="I176" s="118" t="s">
        <v>163</v>
      </c>
      <c r="J176" s="117">
        <v>2023</v>
      </c>
      <c r="K176" s="117">
        <v>13524</v>
      </c>
      <c r="L176" s="172">
        <v>1299877</v>
      </c>
      <c r="M176" s="118" t="s">
        <v>395</v>
      </c>
      <c r="N176" s="121" t="s">
        <v>161</v>
      </c>
      <c r="O176" s="170">
        <v>649938</v>
      </c>
      <c r="P176" s="170"/>
      <c r="Q176" s="134">
        <f t="shared" si="8"/>
        <v>0</v>
      </c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</row>
    <row r="177" spans="1:29" ht="36">
      <c r="A177" s="289">
        <v>40053081</v>
      </c>
      <c r="B177" s="123">
        <v>33</v>
      </c>
      <c r="C177" s="119" t="s">
        <v>26</v>
      </c>
      <c r="D177" s="123"/>
      <c r="E177" s="117">
        <v>463</v>
      </c>
      <c r="F177" s="118" t="s">
        <v>161</v>
      </c>
      <c r="G177" s="272" t="s">
        <v>440</v>
      </c>
      <c r="H177" s="251" t="s">
        <v>103</v>
      </c>
      <c r="I177" s="118" t="s">
        <v>163</v>
      </c>
      <c r="J177" s="117">
        <v>2023</v>
      </c>
      <c r="K177" s="117">
        <v>13523</v>
      </c>
      <c r="L177" s="172">
        <v>840000</v>
      </c>
      <c r="M177" s="118" t="s">
        <v>348</v>
      </c>
      <c r="N177" s="121" t="s">
        <v>325</v>
      </c>
      <c r="O177" s="170">
        <v>756000</v>
      </c>
      <c r="P177" s="170"/>
      <c r="Q177" s="134">
        <f t="shared" si="8"/>
        <v>0</v>
      </c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</row>
    <row r="178" spans="1:29" ht="36">
      <c r="A178" s="289">
        <v>40039511</v>
      </c>
      <c r="B178" s="123">
        <v>33</v>
      </c>
      <c r="C178" s="119" t="s">
        <v>26</v>
      </c>
      <c r="D178" s="123"/>
      <c r="E178" s="117">
        <v>464</v>
      </c>
      <c r="F178" s="118" t="s">
        <v>161</v>
      </c>
      <c r="G178" s="272" t="s">
        <v>441</v>
      </c>
      <c r="H178" s="251" t="s">
        <v>103</v>
      </c>
      <c r="I178" s="118" t="s">
        <v>163</v>
      </c>
      <c r="J178" s="117">
        <v>2023</v>
      </c>
      <c r="K178" s="117">
        <v>13523</v>
      </c>
      <c r="L178" s="172">
        <v>1490000</v>
      </c>
      <c r="M178" s="118" t="s">
        <v>348</v>
      </c>
      <c r="N178" s="121" t="s">
        <v>325</v>
      </c>
      <c r="O178" s="170">
        <v>894000</v>
      </c>
      <c r="P178" s="170"/>
      <c r="Q178" s="134">
        <f t="shared" si="8"/>
        <v>0</v>
      </c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</row>
    <row r="179" spans="1:29" ht="36">
      <c r="A179" s="289">
        <v>40047555</v>
      </c>
      <c r="B179" s="123">
        <v>33</v>
      </c>
      <c r="C179" s="119" t="s">
        <v>26</v>
      </c>
      <c r="D179" s="123"/>
      <c r="E179" s="117">
        <v>465</v>
      </c>
      <c r="F179" s="118" t="s">
        <v>161</v>
      </c>
      <c r="G179" s="272" t="s">
        <v>442</v>
      </c>
      <c r="H179" s="251" t="s">
        <v>103</v>
      </c>
      <c r="I179" s="118" t="s">
        <v>163</v>
      </c>
      <c r="J179" s="117">
        <v>2023</v>
      </c>
      <c r="K179" s="117">
        <v>13479</v>
      </c>
      <c r="L179" s="172">
        <v>2690000</v>
      </c>
      <c r="M179" s="118" t="s">
        <v>348</v>
      </c>
      <c r="N179" s="121" t="s">
        <v>325</v>
      </c>
      <c r="O179" s="170">
        <v>1614000</v>
      </c>
      <c r="P179" s="170"/>
      <c r="Q179" s="134">
        <f t="shared" si="8"/>
        <v>0</v>
      </c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</row>
    <row r="180" spans="1:29" ht="36">
      <c r="A180" s="289">
        <v>40045727</v>
      </c>
      <c r="B180" s="123">
        <v>33</v>
      </c>
      <c r="C180" s="119" t="s">
        <v>26</v>
      </c>
      <c r="D180" s="123"/>
      <c r="E180" s="117">
        <v>466</v>
      </c>
      <c r="F180" s="118" t="s">
        <v>161</v>
      </c>
      <c r="G180" s="272" t="s">
        <v>443</v>
      </c>
      <c r="H180" s="251" t="s">
        <v>103</v>
      </c>
      <c r="I180" s="118" t="s">
        <v>414</v>
      </c>
      <c r="J180" s="117">
        <v>2023</v>
      </c>
      <c r="K180" s="117">
        <v>13522</v>
      </c>
      <c r="L180" s="172">
        <v>769000</v>
      </c>
      <c r="M180" s="118" t="s">
        <v>399</v>
      </c>
      <c r="N180" s="121" t="s">
        <v>161</v>
      </c>
      <c r="O180" s="170">
        <v>307600</v>
      </c>
      <c r="P180" s="170"/>
      <c r="Q180" s="134">
        <f t="shared" si="8"/>
        <v>3745.2170000000001</v>
      </c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>
        <v>3745.2170000000001</v>
      </c>
      <c r="AB180" s="134"/>
      <c r="AC180" s="134"/>
    </row>
    <row r="181" spans="1:29" ht="36">
      <c r="A181" s="288">
        <v>30108069</v>
      </c>
      <c r="B181" s="123">
        <v>31</v>
      </c>
      <c r="C181" s="119" t="s">
        <v>29</v>
      </c>
      <c r="D181" s="123" t="s">
        <v>160</v>
      </c>
      <c r="E181" s="119" t="s">
        <v>41</v>
      </c>
      <c r="F181" s="118" t="s">
        <v>161</v>
      </c>
      <c r="G181" s="124" t="s">
        <v>444</v>
      </c>
      <c r="H181" s="118" t="s">
        <v>83</v>
      </c>
      <c r="I181" s="272" t="s">
        <v>180</v>
      </c>
      <c r="J181" s="117">
        <v>2017</v>
      </c>
      <c r="K181" s="80">
        <v>8952</v>
      </c>
      <c r="L181" s="164">
        <v>4621049</v>
      </c>
      <c r="M181" s="124" t="s">
        <v>174</v>
      </c>
      <c r="N181" s="121" t="s">
        <v>203</v>
      </c>
      <c r="O181" s="170">
        <v>1</v>
      </c>
      <c r="P181" s="134"/>
      <c r="Q181" s="134">
        <f t="shared" si="8"/>
        <v>0</v>
      </c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</row>
    <row r="182" spans="1:29" ht="36">
      <c r="A182" s="288">
        <v>30082130</v>
      </c>
      <c r="B182" s="117">
        <v>31</v>
      </c>
      <c r="C182" s="119" t="s">
        <v>29</v>
      </c>
      <c r="D182" s="123" t="s">
        <v>160</v>
      </c>
      <c r="E182" s="119" t="s">
        <v>41</v>
      </c>
      <c r="F182" s="118" t="s">
        <v>161</v>
      </c>
      <c r="G182" s="124" t="s">
        <v>445</v>
      </c>
      <c r="H182" s="118" t="s">
        <v>94</v>
      </c>
      <c r="I182" s="272" t="s">
        <v>176</v>
      </c>
      <c r="J182" s="117">
        <v>2019</v>
      </c>
      <c r="K182" s="117">
        <v>10106</v>
      </c>
      <c r="L182" s="172">
        <v>802008</v>
      </c>
      <c r="M182" s="118" t="s">
        <v>269</v>
      </c>
      <c r="N182" s="121" t="s">
        <v>1054</v>
      </c>
      <c r="O182" s="170">
        <v>1000</v>
      </c>
      <c r="P182" s="134"/>
      <c r="Q182" s="134">
        <f t="shared" si="8"/>
        <v>0</v>
      </c>
      <c r="R182" s="134"/>
      <c r="S182" s="134"/>
      <c r="T182" s="134"/>
      <c r="U182" s="183"/>
      <c r="V182" s="134"/>
      <c r="W182" s="134"/>
      <c r="X182" s="134"/>
      <c r="Y182" s="134"/>
      <c r="Z182" s="174"/>
      <c r="AA182" s="134"/>
      <c r="AB182" s="134"/>
      <c r="AC182" s="134"/>
    </row>
    <row r="183" spans="1:29" ht="36">
      <c r="A183" s="288">
        <v>40016397</v>
      </c>
      <c r="B183" s="123">
        <v>31</v>
      </c>
      <c r="C183" s="119" t="s">
        <v>29</v>
      </c>
      <c r="D183" s="123" t="s">
        <v>160</v>
      </c>
      <c r="E183" s="119" t="s">
        <v>41</v>
      </c>
      <c r="F183" s="118" t="s">
        <v>161</v>
      </c>
      <c r="G183" s="124" t="s">
        <v>446</v>
      </c>
      <c r="H183" s="118" t="s">
        <v>92</v>
      </c>
      <c r="I183" s="272" t="s">
        <v>447</v>
      </c>
      <c r="J183" s="117">
        <v>2020</v>
      </c>
      <c r="K183" s="80">
        <v>10369</v>
      </c>
      <c r="L183" s="164">
        <v>73231</v>
      </c>
      <c r="M183" s="124" t="s">
        <v>187</v>
      </c>
      <c r="N183" s="121" t="s">
        <v>161</v>
      </c>
      <c r="O183" s="170">
        <v>1</v>
      </c>
      <c r="P183" s="134">
        <v>49980</v>
      </c>
      <c r="Q183" s="134">
        <f t="shared" si="8"/>
        <v>0</v>
      </c>
      <c r="R183" s="134"/>
      <c r="S183" s="134"/>
      <c r="T183" s="134"/>
      <c r="U183" s="183"/>
      <c r="V183" s="134"/>
      <c r="W183" s="134"/>
      <c r="X183" s="134"/>
      <c r="Y183" s="134"/>
      <c r="Z183" s="174"/>
      <c r="AA183" s="134"/>
      <c r="AB183" s="134"/>
      <c r="AC183" s="134"/>
    </row>
    <row r="184" spans="1:29" ht="36">
      <c r="A184" s="288">
        <v>30072951</v>
      </c>
      <c r="B184" s="117">
        <v>31</v>
      </c>
      <c r="C184" s="119" t="s">
        <v>29</v>
      </c>
      <c r="D184" s="123" t="s">
        <v>160</v>
      </c>
      <c r="E184" s="119" t="s">
        <v>41</v>
      </c>
      <c r="F184" s="118" t="s">
        <v>166</v>
      </c>
      <c r="G184" s="124" t="s">
        <v>448</v>
      </c>
      <c r="H184" s="118" t="s">
        <v>98</v>
      </c>
      <c r="I184" s="272" t="s">
        <v>173</v>
      </c>
      <c r="J184" s="117">
        <v>2019</v>
      </c>
      <c r="K184" s="117">
        <v>10369</v>
      </c>
      <c r="L184" s="172">
        <v>908489</v>
      </c>
      <c r="M184" s="118" t="s">
        <v>269</v>
      </c>
      <c r="N184" s="121" t="s">
        <v>178</v>
      </c>
      <c r="O184" s="134">
        <v>170053</v>
      </c>
      <c r="P184" s="134">
        <v>170053</v>
      </c>
      <c r="Q184" s="134">
        <f t="shared" si="8"/>
        <v>0</v>
      </c>
      <c r="R184" s="134"/>
      <c r="S184" s="134"/>
      <c r="T184" s="134"/>
      <c r="U184" s="183"/>
      <c r="V184" s="134"/>
      <c r="W184" s="134"/>
      <c r="X184" s="134"/>
      <c r="Y184" s="134"/>
      <c r="Z184" s="174"/>
      <c r="AA184" s="134"/>
      <c r="AB184" s="134"/>
      <c r="AC184" s="134"/>
    </row>
    <row r="185" spans="1:29" ht="48">
      <c r="A185" s="288">
        <v>40009212</v>
      </c>
      <c r="B185" s="117">
        <v>31</v>
      </c>
      <c r="C185" s="163" t="s">
        <v>29</v>
      </c>
      <c r="D185" s="123" t="s">
        <v>160</v>
      </c>
      <c r="E185" s="119" t="s">
        <v>41</v>
      </c>
      <c r="F185" s="118" t="s">
        <v>161</v>
      </c>
      <c r="G185" s="124" t="s">
        <v>449</v>
      </c>
      <c r="H185" s="118" t="s">
        <v>84</v>
      </c>
      <c r="I185" s="272" t="s">
        <v>173</v>
      </c>
      <c r="J185" s="117">
        <v>2019</v>
      </c>
      <c r="K185" s="117">
        <v>10369</v>
      </c>
      <c r="L185" s="172">
        <v>1950329</v>
      </c>
      <c r="M185" s="118" t="s">
        <v>199</v>
      </c>
      <c r="N185" s="121" t="s">
        <v>192</v>
      </c>
      <c r="O185" s="170">
        <v>176167</v>
      </c>
      <c r="P185" s="134">
        <v>209187</v>
      </c>
      <c r="Q185" s="134">
        <f t="shared" si="8"/>
        <v>0</v>
      </c>
      <c r="R185" s="134"/>
      <c r="S185" s="134"/>
      <c r="T185" s="134"/>
      <c r="U185" s="181"/>
      <c r="V185" s="134"/>
      <c r="W185" s="134"/>
      <c r="X185" s="134"/>
      <c r="Y185" s="134"/>
      <c r="Z185" s="174"/>
      <c r="AA185" s="134"/>
      <c r="AB185" s="134"/>
      <c r="AC185" s="134"/>
    </row>
    <row r="186" spans="1:29" ht="36">
      <c r="A186" s="288">
        <v>30140173</v>
      </c>
      <c r="B186" s="117">
        <v>31</v>
      </c>
      <c r="C186" s="119" t="s">
        <v>29</v>
      </c>
      <c r="D186" s="123" t="s">
        <v>160</v>
      </c>
      <c r="E186" s="119" t="s">
        <v>41</v>
      </c>
      <c r="F186" s="118" t="s">
        <v>161</v>
      </c>
      <c r="G186" s="124" t="s">
        <v>450</v>
      </c>
      <c r="H186" s="118" t="s">
        <v>97</v>
      </c>
      <c r="I186" s="272" t="s">
        <v>189</v>
      </c>
      <c r="J186" s="117">
        <v>2019</v>
      </c>
      <c r="K186" s="117">
        <v>10369</v>
      </c>
      <c r="L186" s="172">
        <v>14398960.458000001</v>
      </c>
      <c r="M186" s="118" t="s">
        <v>269</v>
      </c>
      <c r="N186" s="121" t="s">
        <v>161</v>
      </c>
      <c r="O186" s="134">
        <v>5603859</v>
      </c>
      <c r="P186" s="134">
        <v>5603859</v>
      </c>
      <c r="Q186" s="134">
        <f t="shared" si="8"/>
        <v>6085223.3459999999</v>
      </c>
      <c r="R186" s="134"/>
      <c r="S186" s="134"/>
      <c r="T186" s="134">
        <v>1729696.645</v>
      </c>
      <c r="U186" s="134">
        <v>964826.93900000001</v>
      </c>
      <c r="V186" s="134">
        <v>1075851.273</v>
      </c>
      <c r="W186" s="134">
        <v>1044598.674</v>
      </c>
      <c r="X186" s="134">
        <v>562859.40500000003</v>
      </c>
      <c r="Y186" s="134">
        <v>500281.201</v>
      </c>
      <c r="Z186" s="134">
        <v>207109.209</v>
      </c>
      <c r="AA186" s="134"/>
      <c r="AB186" s="134"/>
      <c r="AC186" s="134"/>
    </row>
    <row r="187" spans="1:29" ht="36">
      <c r="A187" s="288">
        <v>30001033</v>
      </c>
      <c r="B187" s="117">
        <v>31</v>
      </c>
      <c r="C187" s="119" t="s">
        <v>29</v>
      </c>
      <c r="D187" s="123" t="s">
        <v>160</v>
      </c>
      <c r="E187" s="119" t="s">
        <v>41</v>
      </c>
      <c r="F187" s="118" t="s">
        <v>166</v>
      </c>
      <c r="G187" s="124" t="s">
        <v>451</v>
      </c>
      <c r="H187" s="118" t="s">
        <v>84</v>
      </c>
      <c r="I187" s="272" t="s">
        <v>173</v>
      </c>
      <c r="J187" s="117">
        <v>2019</v>
      </c>
      <c r="K187" s="117">
        <v>10497</v>
      </c>
      <c r="L187" s="172">
        <v>957764</v>
      </c>
      <c r="M187" s="118" t="s">
        <v>269</v>
      </c>
      <c r="N187" s="121" t="s">
        <v>178</v>
      </c>
      <c r="O187" s="134">
        <v>122500</v>
      </c>
      <c r="P187" s="134">
        <v>122500</v>
      </c>
      <c r="Q187" s="134">
        <f t="shared" si="8"/>
        <v>0</v>
      </c>
      <c r="R187" s="134"/>
      <c r="S187" s="134"/>
      <c r="T187" s="134"/>
      <c r="U187" s="183"/>
      <c r="V187" s="134"/>
      <c r="W187" s="134"/>
      <c r="X187" s="134"/>
      <c r="Y187" s="134"/>
      <c r="Z187" s="174"/>
      <c r="AA187" s="134"/>
      <c r="AB187" s="134"/>
      <c r="AC187" s="134"/>
    </row>
    <row r="188" spans="1:29" ht="36">
      <c r="A188" s="288">
        <v>40009572</v>
      </c>
      <c r="B188" s="117">
        <v>31</v>
      </c>
      <c r="C188" s="119" t="s">
        <v>29</v>
      </c>
      <c r="D188" s="123" t="s">
        <v>160</v>
      </c>
      <c r="E188" s="119" t="s">
        <v>41</v>
      </c>
      <c r="F188" s="118" t="s">
        <v>166</v>
      </c>
      <c r="G188" s="124" t="s">
        <v>452</v>
      </c>
      <c r="H188" s="118" t="s">
        <v>93</v>
      </c>
      <c r="I188" s="272" t="s">
        <v>173</v>
      </c>
      <c r="J188" s="117">
        <v>2019</v>
      </c>
      <c r="K188" s="117">
        <v>10369</v>
      </c>
      <c r="L188" s="172">
        <v>34270</v>
      </c>
      <c r="M188" s="118" t="s">
        <v>269</v>
      </c>
      <c r="N188" s="121" t="s">
        <v>161</v>
      </c>
      <c r="O188" s="170">
        <v>1</v>
      </c>
      <c r="P188" s="134"/>
      <c r="Q188" s="134">
        <f t="shared" si="8"/>
        <v>0</v>
      </c>
      <c r="R188" s="134"/>
      <c r="S188" s="134"/>
      <c r="T188" s="134"/>
      <c r="U188" s="183"/>
      <c r="V188" s="134"/>
      <c r="W188" s="134"/>
      <c r="X188" s="134"/>
      <c r="Y188" s="134"/>
      <c r="Z188" s="174"/>
      <c r="AA188" s="134"/>
      <c r="AB188" s="134"/>
      <c r="AC188" s="134"/>
    </row>
    <row r="189" spans="1:29" ht="48">
      <c r="A189" s="288">
        <v>40008410</v>
      </c>
      <c r="B189" s="117">
        <v>33</v>
      </c>
      <c r="C189" s="119" t="s">
        <v>24</v>
      </c>
      <c r="D189" s="123" t="s">
        <v>380</v>
      </c>
      <c r="E189" s="119" t="s">
        <v>453</v>
      </c>
      <c r="F189" s="118" t="s">
        <v>161</v>
      </c>
      <c r="G189" s="124" t="s">
        <v>454</v>
      </c>
      <c r="H189" s="118" t="s">
        <v>103</v>
      </c>
      <c r="I189" s="272" t="s">
        <v>176</v>
      </c>
      <c r="J189" s="117">
        <v>2018</v>
      </c>
      <c r="K189" s="117">
        <v>9771</v>
      </c>
      <c r="L189" s="172">
        <v>384104</v>
      </c>
      <c r="M189" s="124" t="s">
        <v>457</v>
      </c>
      <c r="N189" s="121" t="s">
        <v>161</v>
      </c>
      <c r="O189" s="170"/>
      <c r="P189" s="134"/>
      <c r="Q189" s="134">
        <f t="shared" si="8"/>
        <v>0</v>
      </c>
      <c r="R189" s="134"/>
      <c r="S189" s="134"/>
      <c r="T189" s="134"/>
      <c r="U189" s="134"/>
      <c r="V189" s="134"/>
      <c r="W189" s="134"/>
      <c r="X189" s="134"/>
      <c r="Y189" s="170"/>
      <c r="Z189" s="134"/>
      <c r="AA189" s="134"/>
      <c r="AB189" s="134"/>
      <c r="AC189" s="134"/>
    </row>
    <row r="190" spans="1:29" ht="48">
      <c r="A190" s="288">
        <v>40032549</v>
      </c>
      <c r="B190" s="136">
        <v>33</v>
      </c>
      <c r="C190" s="140" t="s">
        <v>24</v>
      </c>
      <c r="D190" s="123" t="s">
        <v>380</v>
      </c>
      <c r="E190" s="140" t="s">
        <v>453</v>
      </c>
      <c r="F190" s="251" t="s">
        <v>161</v>
      </c>
      <c r="G190" s="124" t="s">
        <v>455</v>
      </c>
      <c r="H190" s="251" t="s">
        <v>103</v>
      </c>
      <c r="I190" s="272" t="s">
        <v>171</v>
      </c>
      <c r="J190" s="117">
        <v>2022</v>
      </c>
      <c r="K190" s="117">
        <v>12617</v>
      </c>
      <c r="L190" s="172">
        <v>1234058</v>
      </c>
      <c r="M190" s="124" t="s">
        <v>457</v>
      </c>
      <c r="N190" s="121" t="s">
        <v>161</v>
      </c>
      <c r="O190" s="170"/>
      <c r="P190" s="134"/>
      <c r="Q190" s="134">
        <f t="shared" si="8"/>
        <v>0</v>
      </c>
      <c r="R190" s="134"/>
      <c r="S190" s="134"/>
      <c r="T190" s="134"/>
      <c r="U190" s="181"/>
      <c r="V190" s="134"/>
      <c r="W190" s="134"/>
      <c r="X190" s="134"/>
      <c r="Y190" s="134"/>
      <c r="Z190" s="134"/>
      <c r="AA190" s="134"/>
      <c r="AB190" s="134"/>
      <c r="AC190" s="134"/>
    </row>
    <row r="191" spans="1:29" ht="36">
      <c r="A191" s="288">
        <v>40011478</v>
      </c>
      <c r="B191" s="117">
        <v>33</v>
      </c>
      <c r="C191" s="119" t="s">
        <v>24</v>
      </c>
      <c r="D191" s="123" t="s">
        <v>380</v>
      </c>
      <c r="E191" s="119" t="s">
        <v>453</v>
      </c>
      <c r="F191" s="118" t="s">
        <v>161</v>
      </c>
      <c r="G191" s="124" t="s">
        <v>456</v>
      </c>
      <c r="H191" s="118" t="s">
        <v>103</v>
      </c>
      <c r="I191" s="272" t="s">
        <v>176</v>
      </c>
      <c r="J191" s="117">
        <v>2019</v>
      </c>
      <c r="K191" s="117">
        <v>10497</v>
      </c>
      <c r="L191" s="172">
        <v>2295967</v>
      </c>
      <c r="M191" s="124" t="s">
        <v>457</v>
      </c>
      <c r="N191" s="121" t="s">
        <v>161</v>
      </c>
      <c r="O191" s="170"/>
      <c r="P191" s="134"/>
      <c r="Q191" s="134">
        <f t="shared" si="8"/>
        <v>0</v>
      </c>
      <c r="R191" s="134"/>
      <c r="S191" s="134"/>
      <c r="T191" s="134"/>
      <c r="U191" s="134"/>
      <c r="V191" s="134"/>
      <c r="W191" s="134"/>
      <c r="X191" s="134"/>
      <c r="Y191" s="170"/>
      <c r="Z191" s="134"/>
      <c r="AA191" s="134"/>
      <c r="AB191" s="134"/>
      <c r="AC191" s="134"/>
    </row>
    <row r="192" spans="1:29" ht="36">
      <c r="A192" s="123" t="s">
        <v>242</v>
      </c>
      <c r="B192" s="123">
        <v>33</v>
      </c>
      <c r="C192" s="119" t="s">
        <v>24</v>
      </c>
      <c r="D192" s="123" t="s">
        <v>380</v>
      </c>
      <c r="E192" s="266" t="s">
        <v>453</v>
      </c>
      <c r="F192" s="118" t="s">
        <v>161</v>
      </c>
      <c r="G192" s="124" t="s">
        <v>457</v>
      </c>
      <c r="H192" s="118" t="s">
        <v>103</v>
      </c>
      <c r="I192" s="272" t="s">
        <v>242</v>
      </c>
      <c r="J192" s="117" t="s">
        <v>245</v>
      </c>
      <c r="K192" s="117" t="s">
        <v>245</v>
      </c>
      <c r="L192" s="136" t="s">
        <v>245</v>
      </c>
      <c r="M192" s="124" t="s">
        <v>457</v>
      </c>
      <c r="N192" s="121" t="s">
        <v>458</v>
      </c>
      <c r="O192" s="170">
        <v>1200000</v>
      </c>
      <c r="P192" s="134"/>
      <c r="Q192" s="134">
        <f t="shared" si="8"/>
        <v>0</v>
      </c>
      <c r="R192" s="134"/>
      <c r="S192" s="134"/>
      <c r="T192" s="134"/>
      <c r="U192" s="170"/>
      <c r="V192" s="134"/>
      <c r="W192" s="134"/>
      <c r="X192" s="134"/>
      <c r="Y192" s="170"/>
      <c r="Z192" s="174"/>
      <c r="AA192" s="134"/>
      <c r="AB192" s="134"/>
      <c r="AC192" s="134"/>
    </row>
    <row r="193" spans="1:29" ht="36">
      <c r="A193" s="288">
        <v>40002463</v>
      </c>
      <c r="B193" s="117">
        <v>33</v>
      </c>
      <c r="C193" s="119" t="s">
        <v>24</v>
      </c>
      <c r="D193" s="123" t="s">
        <v>380</v>
      </c>
      <c r="E193" s="119" t="s">
        <v>453</v>
      </c>
      <c r="F193" s="118" t="s">
        <v>161</v>
      </c>
      <c r="G193" s="124" t="s">
        <v>459</v>
      </c>
      <c r="H193" s="118" t="s">
        <v>103</v>
      </c>
      <c r="I193" s="272" t="s">
        <v>176</v>
      </c>
      <c r="J193" s="117">
        <v>2018</v>
      </c>
      <c r="K193" s="117">
        <v>9725</v>
      </c>
      <c r="L193" s="172">
        <v>412075</v>
      </c>
      <c r="M193" s="124" t="s">
        <v>457</v>
      </c>
      <c r="N193" s="121" t="s">
        <v>161</v>
      </c>
      <c r="O193" s="170"/>
      <c r="P193" s="134"/>
      <c r="Q193" s="134">
        <f t="shared" si="8"/>
        <v>0</v>
      </c>
      <c r="R193" s="134"/>
      <c r="S193" s="134"/>
      <c r="T193" s="134"/>
      <c r="U193" s="134"/>
      <c r="V193" s="134"/>
      <c r="W193" s="134"/>
      <c r="X193" s="134"/>
      <c r="Y193" s="170"/>
      <c r="Z193" s="134"/>
      <c r="AA193" s="134"/>
      <c r="AB193" s="134"/>
      <c r="AC193" s="134"/>
    </row>
    <row r="194" spans="1:29" ht="36">
      <c r="A194" s="288">
        <v>40039417</v>
      </c>
      <c r="B194" s="136">
        <v>33</v>
      </c>
      <c r="C194" s="140" t="s">
        <v>24</v>
      </c>
      <c r="D194" s="123" t="s">
        <v>380</v>
      </c>
      <c r="E194" s="140" t="s">
        <v>453</v>
      </c>
      <c r="F194" s="251" t="s">
        <v>161</v>
      </c>
      <c r="G194" s="124" t="s">
        <v>460</v>
      </c>
      <c r="H194" s="251" t="s">
        <v>103</v>
      </c>
      <c r="I194" s="272" t="s">
        <v>163</v>
      </c>
      <c r="J194" s="117">
        <v>2022</v>
      </c>
      <c r="K194" s="117">
        <v>12627</v>
      </c>
      <c r="L194" s="172">
        <v>376952</v>
      </c>
      <c r="M194" s="124" t="s">
        <v>457</v>
      </c>
      <c r="N194" s="121" t="s">
        <v>161</v>
      </c>
      <c r="O194" s="170"/>
      <c r="P194" s="134"/>
      <c r="Q194" s="134">
        <f t="shared" si="8"/>
        <v>0</v>
      </c>
      <c r="R194" s="134"/>
      <c r="S194" s="134"/>
      <c r="T194" s="134"/>
      <c r="U194" s="181"/>
      <c r="V194" s="134"/>
      <c r="W194" s="134"/>
      <c r="X194" s="134"/>
      <c r="Y194" s="134"/>
      <c r="Z194" s="134"/>
      <c r="AA194" s="134"/>
      <c r="AB194" s="134"/>
      <c r="AC194" s="134"/>
    </row>
    <row r="195" spans="1:29" ht="48">
      <c r="A195" s="288">
        <v>40029740</v>
      </c>
      <c r="B195" s="136">
        <v>33</v>
      </c>
      <c r="C195" s="140" t="s">
        <v>24</v>
      </c>
      <c r="D195" s="123" t="s">
        <v>380</v>
      </c>
      <c r="E195" s="140" t="s">
        <v>453</v>
      </c>
      <c r="F195" s="251" t="s">
        <v>161</v>
      </c>
      <c r="G195" s="124" t="s">
        <v>461</v>
      </c>
      <c r="H195" s="251" t="s">
        <v>103</v>
      </c>
      <c r="I195" s="272" t="s">
        <v>176</v>
      </c>
      <c r="J195" s="117">
        <v>2022</v>
      </c>
      <c r="K195" s="117">
        <v>12617</v>
      </c>
      <c r="L195" s="172">
        <v>382679</v>
      </c>
      <c r="M195" s="124" t="s">
        <v>457</v>
      </c>
      <c r="N195" s="121" t="s">
        <v>161</v>
      </c>
      <c r="O195" s="170"/>
      <c r="P195" s="134"/>
      <c r="Q195" s="134">
        <f t="shared" si="8"/>
        <v>0</v>
      </c>
      <c r="R195" s="134"/>
      <c r="S195" s="134"/>
      <c r="T195" s="134"/>
      <c r="U195" s="181"/>
      <c r="V195" s="134"/>
      <c r="W195" s="134"/>
      <c r="X195" s="134"/>
      <c r="Y195" s="134"/>
      <c r="Z195" s="134"/>
      <c r="AA195" s="134"/>
      <c r="AB195" s="134"/>
      <c r="AC195" s="134"/>
    </row>
    <row r="196" spans="1:29" ht="60">
      <c r="A196" s="123">
        <v>40045028</v>
      </c>
      <c r="B196" s="136">
        <v>24</v>
      </c>
      <c r="C196" s="140" t="s">
        <v>24</v>
      </c>
      <c r="D196" s="123" t="s">
        <v>307</v>
      </c>
      <c r="E196" s="119" t="s">
        <v>462</v>
      </c>
      <c r="F196" s="251" t="s">
        <v>161</v>
      </c>
      <c r="G196" s="124" t="s">
        <v>463</v>
      </c>
      <c r="H196" s="251" t="s">
        <v>103</v>
      </c>
      <c r="I196" s="272" t="s">
        <v>163</v>
      </c>
      <c r="J196" s="117">
        <v>2022</v>
      </c>
      <c r="K196" s="117">
        <v>12411</v>
      </c>
      <c r="L196" s="172">
        <v>994947.27099999995</v>
      </c>
      <c r="M196" s="124" t="s">
        <v>464</v>
      </c>
      <c r="N196" s="121" t="s">
        <v>238</v>
      </c>
      <c r="O196" s="170"/>
      <c r="P196" s="134">
        <v>422300</v>
      </c>
      <c r="Q196" s="134">
        <f t="shared" ref="Q196" si="10">SUM(R196:AC196)</f>
        <v>0</v>
      </c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</row>
    <row r="197" spans="1:29" ht="36">
      <c r="A197" s="123">
        <v>40008923</v>
      </c>
      <c r="B197" s="123">
        <v>22</v>
      </c>
      <c r="C197" s="119">
        <v>11</v>
      </c>
      <c r="D197" s="123" t="s">
        <v>465</v>
      </c>
      <c r="E197" s="338" t="s">
        <v>466</v>
      </c>
      <c r="F197" s="118" t="s">
        <v>161</v>
      </c>
      <c r="G197" s="124" t="s">
        <v>467</v>
      </c>
      <c r="H197" s="118" t="s">
        <v>103</v>
      </c>
      <c r="I197" s="272" t="s">
        <v>163</v>
      </c>
      <c r="J197" s="117">
        <v>2018</v>
      </c>
      <c r="K197" s="117" t="s">
        <v>468</v>
      </c>
      <c r="L197" s="287">
        <v>254014.23</v>
      </c>
      <c r="M197" s="118" t="s">
        <v>335</v>
      </c>
      <c r="N197" s="121" t="s">
        <v>161</v>
      </c>
      <c r="O197" s="339">
        <v>720553</v>
      </c>
      <c r="P197" s="134">
        <v>254015</v>
      </c>
      <c r="Q197" s="134">
        <f t="shared" si="8"/>
        <v>135401.5</v>
      </c>
      <c r="R197" s="134"/>
      <c r="S197" s="134"/>
      <c r="T197" s="134"/>
      <c r="U197" s="134"/>
      <c r="V197" s="134"/>
      <c r="W197" s="134"/>
      <c r="X197" s="134">
        <v>41662</v>
      </c>
      <c r="Y197" s="134"/>
      <c r="Z197" s="174">
        <v>41662</v>
      </c>
      <c r="AA197" s="134">
        <v>52077.5</v>
      </c>
      <c r="AB197" s="134"/>
      <c r="AC197" s="134"/>
    </row>
    <row r="198" spans="1:29" ht="48">
      <c r="A198" s="123">
        <v>2401010</v>
      </c>
      <c r="B198" s="123">
        <v>24</v>
      </c>
      <c r="C198" s="119" t="s">
        <v>24</v>
      </c>
      <c r="D198" s="123" t="s">
        <v>307</v>
      </c>
      <c r="E198" s="117" t="s">
        <v>469</v>
      </c>
      <c r="F198" s="118" t="s">
        <v>161</v>
      </c>
      <c r="G198" s="124" t="s">
        <v>470</v>
      </c>
      <c r="H198" s="118" t="s">
        <v>103</v>
      </c>
      <c r="I198" s="272" t="s">
        <v>247</v>
      </c>
      <c r="J198" s="117">
        <v>2011</v>
      </c>
      <c r="K198" s="117" t="s">
        <v>471</v>
      </c>
      <c r="L198" s="164"/>
      <c r="M198" s="118" t="s">
        <v>335</v>
      </c>
      <c r="N198" s="121" t="s">
        <v>161</v>
      </c>
      <c r="O198" s="170">
        <v>2400000</v>
      </c>
      <c r="P198" s="134">
        <v>422300</v>
      </c>
      <c r="Q198" s="134">
        <f t="shared" si="8"/>
        <v>1308630</v>
      </c>
      <c r="R198" s="134"/>
      <c r="S198" s="134">
        <v>422300</v>
      </c>
      <c r="T198" s="134"/>
      <c r="U198" s="170"/>
      <c r="V198" s="134"/>
      <c r="W198" s="134"/>
      <c r="X198" s="134"/>
      <c r="Y198" s="170">
        <v>400480</v>
      </c>
      <c r="Z198" s="170">
        <v>120600</v>
      </c>
      <c r="AA198" s="134">
        <v>365250</v>
      </c>
      <c r="AB198" s="134"/>
      <c r="AC198" s="134"/>
    </row>
    <row r="199" spans="1:29" ht="24">
      <c r="A199" s="80">
        <v>2401300</v>
      </c>
      <c r="B199" s="123">
        <v>24</v>
      </c>
      <c r="C199" s="119" t="s">
        <v>24</v>
      </c>
      <c r="D199" s="123" t="s">
        <v>307</v>
      </c>
      <c r="E199" s="117">
        <v>300</v>
      </c>
      <c r="F199" s="118" t="s">
        <v>161</v>
      </c>
      <c r="G199" s="124" t="s">
        <v>472</v>
      </c>
      <c r="H199" s="118" t="s">
        <v>103</v>
      </c>
      <c r="I199" s="272" t="s">
        <v>163</v>
      </c>
      <c r="J199" s="117">
        <v>2024</v>
      </c>
      <c r="K199" s="117" t="s">
        <v>245</v>
      </c>
      <c r="L199" s="136" t="s">
        <v>245</v>
      </c>
      <c r="M199" s="118" t="s">
        <v>335</v>
      </c>
      <c r="N199" s="121" t="s">
        <v>161</v>
      </c>
      <c r="O199" s="170">
        <v>6693077</v>
      </c>
      <c r="P199" s="134">
        <v>554086.27300000004</v>
      </c>
      <c r="Q199" s="134">
        <f t="shared" ref="Q199:Q208" si="11">SUM(R199:AC199)</f>
        <v>797357.93599999999</v>
      </c>
      <c r="R199" s="134"/>
      <c r="S199" s="134"/>
      <c r="T199" s="134"/>
      <c r="U199" s="134">
        <v>4065.5790000000002</v>
      </c>
      <c r="V199" s="134">
        <v>1188.6369999999999</v>
      </c>
      <c r="W199" s="134">
        <v>13739.821</v>
      </c>
      <c r="X199" s="134">
        <v>43128.796999999999</v>
      </c>
      <c r="Y199" s="134">
        <v>228844.62899999999</v>
      </c>
      <c r="Z199" s="134">
        <v>289393.80599999998</v>
      </c>
      <c r="AA199" s="254">
        <v>216996.66699999999</v>
      </c>
      <c r="AB199" s="174"/>
      <c r="AC199" s="134"/>
    </row>
    <row r="200" spans="1:29" ht="24">
      <c r="A200" s="123">
        <v>2403300</v>
      </c>
      <c r="B200" s="123">
        <v>24</v>
      </c>
      <c r="C200" s="119" t="s">
        <v>26</v>
      </c>
      <c r="D200" s="123" t="s">
        <v>473</v>
      </c>
      <c r="E200" s="117">
        <v>300</v>
      </c>
      <c r="F200" s="118" t="s">
        <v>161</v>
      </c>
      <c r="G200" s="124" t="s">
        <v>474</v>
      </c>
      <c r="H200" s="118" t="s">
        <v>103</v>
      </c>
      <c r="I200" s="272" t="s">
        <v>163</v>
      </c>
      <c r="J200" s="117">
        <v>2024</v>
      </c>
      <c r="K200" s="117" t="s">
        <v>245</v>
      </c>
      <c r="L200" s="136" t="s">
        <v>245</v>
      </c>
      <c r="M200" s="118" t="s">
        <v>335</v>
      </c>
      <c r="N200" s="121" t="s">
        <v>161</v>
      </c>
      <c r="O200" s="170">
        <v>400000</v>
      </c>
      <c r="P200" s="134"/>
      <c r="Q200" s="134">
        <f t="shared" si="11"/>
        <v>31689.998</v>
      </c>
      <c r="R200" s="134"/>
      <c r="S200" s="134"/>
      <c r="T200" s="134"/>
      <c r="U200" s="134"/>
      <c r="V200" s="134"/>
      <c r="W200" s="134"/>
      <c r="X200" s="134"/>
      <c r="Y200" s="134"/>
      <c r="Z200" s="134">
        <v>31689.998</v>
      </c>
      <c r="AA200" s="134"/>
      <c r="AB200" s="134"/>
      <c r="AC200" s="134"/>
    </row>
    <row r="201" spans="1:29" ht="24">
      <c r="A201" s="288">
        <v>40007897</v>
      </c>
      <c r="B201" s="123">
        <v>29</v>
      </c>
      <c r="C201" s="119" t="s">
        <v>26</v>
      </c>
      <c r="D201" s="123" t="s">
        <v>332</v>
      </c>
      <c r="E201" s="119" t="s">
        <v>475</v>
      </c>
      <c r="F201" s="118" t="s">
        <v>161</v>
      </c>
      <c r="G201" s="124" t="s">
        <v>476</v>
      </c>
      <c r="H201" s="118" t="s">
        <v>86</v>
      </c>
      <c r="I201" s="272" t="s">
        <v>247</v>
      </c>
      <c r="J201" s="117">
        <v>2018</v>
      </c>
      <c r="K201" s="117">
        <v>9636</v>
      </c>
      <c r="L201" s="164">
        <v>278501</v>
      </c>
      <c r="M201" s="118" t="s">
        <v>229</v>
      </c>
      <c r="N201" s="121" t="s">
        <v>192</v>
      </c>
      <c r="O201" s="170">
        <v>18501</v>
      </c>
      <c r="P201" s="134"/>
      <c r="Q201" s="134">
        <f t="shared" si="11"/>
        <v>0</v>
      </c>
      <c r="R201" s="134"/>
      <c r="S201" s="134"/>
      <c r="T201" s="134"/>
      <c r="U201" s="181"/>
      <c r="V201" s="134"/>
      <c r="W201" s="134"/>
      <c r="X201" s="134"/>
      <c r="Y201" s="134"/>
      <c r="Z201" s="174"/>
      <c r="AA201" s="134"/>
      <c r="AB201" s="134"/>
      <c r="AC201" s="134"/>
    </row>
    <row r="202" spans="1:29" ht="36">
      <c r="A202" s="288">
        <v>40018403</v>
      </c>
      <c r="B202" s="117">
        <v>29</v>
      </c>
      <c r="C202" s="119" t="s">
        <v>26</v>
      </c>
      <c r="D202" s="123" t="s">
        <v>332</v>
      </c>
      <c r="E202" s="119" t="s">
        <v>477</v>
      </c>
      <c r="F202" s="118" t="s">
        <v>161</v>
      </c>
      <c r="G202" s="124" t="s">
        <v>478</v>
      </c>
      <c r="H202" s="118" t="s">
        <v>83</v>
      </c>
      <c r="I202" s="272" t="s">
        <v>173</v>
      </c>
      <c r="J202" s="117">
        <v>2020</v>
      </c>
      <c r="K202" s="117">
        <v>10686</v>
      </c>
      <c r="L202" s="172">
        <v>146911</v>
      </c>
      <c r="M202" s="173" t="s">
        <v>340</v>
      </c>
      <c r="N202" s="121" t="s">
        <v>192</v>
      </c>
      <c r="O202" s="170">
        <v>102480</v>
      </c>
      <c r="P202" s="134"/>
      <c r="Q202" s="134">
        <f t="shared" si="11"/>
        <v>0</v>
      </c>
      <c r="R202" s="134"/>
      <c r="S202" s="134"/>
      <c r="T202" s="134"/>
      <c r="U202" s="181"/>
      <c r="V202" s="134"/>
      <c r="W202" s="134"/>
      <c r="X202" s="134"/>
      <c r="Y202" s="134"/>
      <c r="Z202" s="174"/>
      <c r="AA202" s="134"/>
      <c r="AB202" s="134"/>
      <c r="AC202" s="190"/>
    </row>
    <row r="203" spans="1:29" ht="36">
      <c r="A203" s="288">
        <v>40016437</v>
      </c>
      <c r="B203" s="117">
        <v>29</v>
      </c>
      <c r="C203" s="119" t="s">
        <v>26</v>
      </c>
      <c r="D203" s="123" t="s">
        <v>332</v>
      </c>
      <c r="E203" s="119" t="s">
        <v>479</v>
      </c>
      <c r="F203" s="118" t="s">
        <v>161</v>
      </c>
      <c r="G203" s="124" t="s">
        <v>480</v>
      </c>
      <c r="H203" s="118" t="s">
        <v>91</v>
      </c>
      <c r="I203" s="272" t="s">
        <v>173</v>
      </c>
      <c r="J203" s="117">
        <v>2019</v>
      </c>
      <c r="K203" s="117">
        <v>10340</v>
      </c>
      <c r="L203" s="172">
        <v>336706</v>
      </c>
      <c r="M203" s="173" t="s">
        <v>340</v>
      </c>
      <c r="N203" s="121" t="s">
        <v>192</v>
      </c>
      <c r="O203" s="170"/>
      <c r="P203" s="134">
        <v>25000</v>
      </c>
      <c r="Q203" s="134">
        <f t="shared" si="11"/>
        <v>0</v>
      </c>
      <c r="R203" s="134"/>
      <c r="S203" s="134"/>
      <c r="T203" s="134"/>
      <c r="U203" s="181"/>
      <c r="V203" s="134"/>
      <c r="W203" s="134"/>
      <c r="X203" s="134"/>
      <c r="Y203" s="134"/>
      <c r="Z203" s="174"/>
      <c r="AA203" s="134"/>
      <c r="AB203" s="134"/>
      <c r="AC203" s="190"/>
    </row>
    <row r="204" spans="1:29" ht="36">
      <c r="A204" s="288">
        <v>40017099</v>
      </c>
      <c r="B204" s="117">
        <v>29</v>
      </c>
      <c r="C204" s="119" t="s">
        <v>26</v>
      </c>
      <c r="D204" s="123" t="s">
        <v>332</v>
      </c>
      <c r="E204" s="119" t="s">
        <v>481</v>
      </c>
      <c r="F204" s="118" t="s">
        <v>161</v>
      </c>
      <c r="G204" s="124" t="s">
        <v>482</v>
      </c>
      <c r="H204" s="118" t="s">
        <v>97</v>
      </c>
      <c r="I204" s="272" t="s">
        <v>173</v>
      </c>
      <c r="J204" s="117">
        <v>2019</v>
      </c>
      <c r="K204" s="117">
        <v>10497</v>
      </c>
      <c r="L204" s="172">
        <v>220037</v>
      </c>
      <c r="M204" s="173" t="s">
        <v>340</v>
      </c>
      <c r="N204" s="121" t="s">
        <v>192</v>
      </c>
      <c r="O204" s="170">
        <v>170467</v>
      </c>
      <c r="P204" s="134"/>
      <c r="Q204" s="134">
        <f t="shared" si="11"/>
        <v>0</v>
      </c>
      <c r="R204" s="134"/>
      <c r="S204" s="134"/>
      <c r="T204" s="134"/>
      <c r="U204" s="181"/>
      <c r="V204" s="134"/>
      <c r="W204" s="134"/>
      <c r="X204" s="134"/>
      <c r="Y204" s="134"/>
      <c r="Z204" s="174"/>
      <c r="AA204" s="134"/>
      <c r="AB204" s="134"/>
      <c r="AC204" s="190"/>
    </row>
    <row r="205" spans="1:29" ht="36">
      <c r="A205" s="288">
        <v>40025574</v>
      </c>
      <c r="B205" s="117">
        <v>29</v>
      </c>
      <c r="C205" s="119" t="s">
        <v>26</v>
      </c>
      <c r="D205" s="123" t="s">
        <v>332</v>
      </c>
      <c r="E205" s="119" t="s">
        <v>483</v>
      </c>
      <c r="F205" s="118" t="s">
        <v>161</v>
      </c>
      <c r="G205" s="124" t="s">
        <v>484</v>
      </c>
      <c r="H205" s="118" t="s">
        <v>90</v>
      </c>
      <c r="I205" s="272" t="s">
        <v>173</v>
      </c>
      <c r="J205" s="117">
        <v>2021</v>
      </c>
      <c r="K205" s="117">
        <v>11453</v>
      </c>
      <c r="L205" s="172">
        <v>82367</v>
      </c>
      <c r="M205" s="173" t="s">
        <v>340</v>
      </c>
      <c r="N205" s="121" t="s">
        <v>192</v>
      </c>
      <c r="O205" s="170">
        <v>85991</v>
      </c>
      <c r="P205" s="134"/>
      <c r="Q205" s="134">
        <f t="shared" si="11"/>
        <v>0</v>
      </c>
      <c r="R205" s="134"/>
      <c r="S205" s="134"/>
      <c r="T205" s="134"/>
      <c r="U205" s="181"/>
      <c r="V205" s="134"/>
      <c r="W205" s="134"/>
      <c r="X205" s="134"/>
      <c r="Y205" s="134"/>
      <c r="Z205" s="174"/>
      <c r="AA205" s="134"/>
      <c r="AB205" s="134"/>
      <c r="AC205" s="190"/>
    </row>
    <row r="206" spans="1:29" ht="36">
      <c r="A206" s="288">
        <v>40027272</v>
      </c>
      <c r="B206" s="117">
        <v>29</v>
      </c>
      <c r="C206" s="119" t="s">
        <v>26</v>
      </c>
      <c r="D206" s="123" t="s">
        <v>332</v>
      </c>
      <c r="E206" s="119" t="s">
        <v>485</v>
      </c>
      <c r="F206" s="118" t="s">
        <v>161</v>
      </c>
      <c r="G206" s="124" t="s">
        <v>486</v>
      </c>
      <c r="H206" s="118" t="s">
        <v>87</v>
      </c>
      <c r="I206" s="272" t="s">
        <v>173</v>
      </c>
      <c r="J206" s="117">
        <v>2021</v>
      </c>
      <c r="K206" s="117">
        <v>11452</v>
      </c>
      <c r="L206" s="172">
        <v>87464</v>
      </c>
      <c r="M206" s="173" t="s">
        <v>340</v>
      </c>
      <c r="N206" s="121" t="s">
        <v>192</v>
      </c>
      <c r="O206" s="170">
        <v>91313</v>
      </c>
      <c r="P206" s="134"/>
      <c r="Q206" s="134">
        <f t="shared" si="11"/>
        <v>0</v>
      </c>
      <c r="R206" s="134"/>
      <c r="S206" s="134"/>
      <c r="T206" s="134"/>
      <c r="U206" s="181"/>
      <c r="V206" s="134"/>
      <c r="W206" s="134"/>
      <c r="X206" s="134"/>
      <c r="Y206" s="134"/>
      <c r="Z206" s="174"/>
      <c r="AA206" s="134"/>
      <c r="AB206" s="134"/>
      <c r="AC206" s="190"/>
    </row>
    <row r="207" spans="1:29" ht="36">
      <c r="A207" s="288">
        <v>40029725</v>
      </c>
      <c r="B207" s="117">
        <v>29</v>
      </c>
      <c r="C207" s="119" t="s">
        <v>26</v>
      </c>
      <c r="D207" s="123" t="s">
        <v>332</v>
      </c>
      <c r="E207" s="119" t="s">
        <v>487</v>
      </c>
      <c r="F207" s="118" t="s">
        <v>161</v>
      </c>
      <c r="G207" s="124" t="s">
        <v>488</v>
      </c>
      <c r="H207" s="118" t="s">
        <v>103</v>
      </c>
      <c r="I207" s="272" t="s">
        <v>176</v>
      </c>
      <c r="J207" s="117">
        <v>2021</v>
      </c>
      <c r="K207" s="117">
        <v>11454</v>
      </c>
      <c r="L207" s="172">
        <v>949525</v>
      </c>
      <c r="M207" s="173" t="s">
        <v>489</v>
      </c>
      <c r="N207" s="121" t="s">
        <v>1056</v>
      </c>
      <c r="O207" s="170">
        <v>893252</v>
      </c>
      <c r="P207" s="134">
        <v>5000</v>
      </c>
      <c r="Q207" s="134">
        <f t="shared" si="11"/>
        <v>775296.9</v>
      </c>
      <c r="R207" s="134"/>
      <c r="S207" s="134"/>
      <c r="T207" s="134"/>
      <c r="U207" s="181"/>
      <c r="V207" s="195"/>
      <c r="W207" s="134"/>
      <c r="X207" s="134"/>
      <c r="Y207" s="134"/>
      <c r="Z207" s="134">
        <v>775296.9</v>
      </c>
      <c r="AA207" s="134"/>
      <c r="AB207" s="134"/>
      <c r="AC207" s="134"/>
    </row>
    <row r="208" spans="1:29" ht="36">
      <c r="A208" s="288">
        <v>40010411</v>
      </c>
      <c r="B208" s="117">
        <v>29</v>
      </c>
      <c r="C208" s="119" t="s">
        <v>26</v>
      </c>
      <c r="D208" s="123" t="s">
        <v>332</v>
      </c>
      <c r="E208" s="119" t="s">
        <v>490</v>
      </c>
      <c r="F208" s="118" t="s">
        <v>161</v>
      </c>
      <c r="G208" s="124" t="s">
        <v>491</v>
      </c>
      <c r="H208" s="118" t="s">
        <v>83</v>
      </c>
      <c r="I208" s="272" t="s">
        <v>173</v>
      </c>
      <c r="J208" s="117">
        <v>2019</v>
      </c>
      <c r="K208" s="117">
        <v>10369</v>
      </c>
      <c r="L208" s="172">
        <v>238015</v>
      </c>
      <c r="M208" s="173" t="s">
        <v>340</v>
      </c>
      <c r="N208" s="121" t="s">
        <v>1056</v>
      </c>
      <c r="O208" s="170"/>
      <c r="P208" s="134"/>
      <c r="Q208" s="134">
        <f t="shared" si="11"/>
        <v>0</v>
      </c>
      <c r="R208" s="134"/>
      <c r="S208" s="134"/>
      <c r="T208" s="134"/>
      <c r="U208" s="181"/>
      <c r="V208" s="195"/>
      <c r="W208" s="134"/>
      <c r="X208" s="134"/>
      <c r="Y208" s="134"/>
      <c r="Z208" s="174"/>
      <c r="AA208" s="134"/>
      <c r="AB208" s="134"/>
      <c r="AC208" s="134"/>
    </row>
    <row r="209" spans="1:29" ht="36">
      <c r="A209" s="301">
        <v>30100129</v>
      </c>
      <c r="B209" s="117">
        <v>31</v>
      </c>
      <c r="C209" s="119" t="s">
        <v>29</v>
      </c>
      <c r="D209" s="123" t="s">
        <v>160</v>
      </c>
      <c r="E209" s="119" t="s">
        <v>492</v>
      </c>
      <c r="F209" s="118" t="s">
        <v>161</v>
      </c>
      <c r="G209" s="272" t="s">
        <v>493</v>
      </c>
      <c r="H209" s="251" t="s">
        <v>87</v>
      </c>
      <c r="I209" s="124" t="s">
        <v>173</v>
      </c>
      <c r="J209" s="117">
        <v>2023</v>
      </c>
      <c r="K209" s="117">
        <v>13693</v>
      </c>
      <c r="L209" s="172">
        <v>1265812</v>
      </c>
      <c r="M209" s="118" t="s">
        <v>269</v>
      </c>
      <c r="N209" s="121" t="s">
        <v>181</v>
      </c>
      <c r="O209" s="170">
        <v>500000</v>
      </c>
      <c r="P209" s="134">
        <v>318291</v>
      </c>
      <c r="Q209" s="134">
        <f t="shared" ref="Q209:Q274" si="12">SUM(R209:AC209)</f>
        <v>0</v>
      </c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</row>
    <row r="210" spans="1:29" ht="36">
      <c r="A210" s="288">
        <v>40040991</v>
      </c>
      <c r="B210" s="136">
        <v>33</v>
      </c>
      <c r="C210" s="140" t="s">
        <v>24</v>
      </c>
      <c r="D210" s="123" t="s">
        <v>380</v>
      </c>
      <c r="E210" s="140" t="s">
        <v>494</v>
      </c>
      <c r="F210" s="251" t="s">
        <v>161</v>
      </c>
      <c r="G210" s="124" t="s">
        <v>495</v>
      </c>
      <c r="H210" s="251" t="s">
        <v>103</v>
      </c>
      <c r="I210" s="273" t="s">
        <v>163</v>
      </c>
      <c r="J210" s="136">
        <v>2022</v>
      </c>
      <c r="K210" s="136">
        <v>12111</v>
      </c>
      <c r="L210" s="172">
        <v>135000</v>
      </c>
      <c r="M210" s="124" t="s">
        <v>496</v>
      </c>
      <c r="N210" s="121" t="s">
        <v>161</v>
      </c>
      <c r="O210" s="170">
        <v>64800</v>
      </c>
      <c r="P210" s="134"/>
      <c r="Q210" s="134">
        <f t="shared" si="12"/>
        <v>47576.607000000004</v>
      </c>
      <c r="R210" s="134"/>
      <c r="S210" s="134"/>
      <c r="T210" s="134"/>
      <c r="U210" s="134"/>
      <c r="V210" s="134"/>
      <c r="W210" s="134"/>
      <c r="X210" s="134">
        <v>10983.021000000001</v>
      </c>
      <c r="Y210" s="170">
        <v>17583.564999999999</v>
      </c>
      <c r="Z210" s="134"/>
      <c r="AA210" s="134">
        <v>19010.021000000001</v>
      </c>
      <c r="AB210" s="134"/>
      <c r="AC210" s="134"/>
    </row>
    <row r="211" spans="1:29" ht="60">
      <c r="A211" s="288">
        <v>40040995</v>
      </c>
      <c r="B211" s="136">
        <v>33</v>
      </c>
      <c r="C211" s="140" t="s">
        <v>24</v>
      </c>
      <c r="D211" s="123" t="s">
        <v>380</v>
      </c>
      <c r="E211" s="140" t="s">
        <v>497</v>
      </c>
      <c r="F211" s="251" t="s">
        <v>161</v>
      </c>
      <c r="G211" s="124" t="s">
        <v>498</v>
      </c>
      <c r="H211" s="251" t="s">
        <v>103</v>
      </c>
      <c r="I211" s="273" t="s">
        <v>219</v>
      </c>
      <c r="J211" s="136">
        <v>2022</v>
      </c>
      <c r="K211" s="136">
        <v>12111</v>
      </c>
      <c r="L211" s="172">
        <v>108000</v>
      </c>
      <c r="M211" s="173" t="s">
        <v>311</v>
      </c>
      <c r="N211" s="121" t="s">
        <v>161</v>
      </c>
      <c r="O211" s="170"/>
      <c r="P211" s="134"/>
      <c r="Q211" s="134">
        <f t="shared" si="12"/>
        <v>0</v>
      </c>
      <c r="R211" s="134"/>
      <c r="S211" s="134"/>
      <c r="T211" s="134"/>
      <c r="U211" s="134"/>
      <c r="V211" s="134"/>
      <c r="W211" s="134"/>
      <c r="X211" s="134"/>
      <c r="Y211" s="170"/>
      <c r="Z211" s="134"/>
      <c r="AA211" s="134"/>
      <c r="AB211" s="134"/>
      <c r="AC211" s="134"/>
    </row>
    <row r="212" spans="1:29" ht="36">
      <c r="A212" s="288">
        <v>40041001</v>
      </c>
      <c r="B212" s="136">
        <v>33</v>
      </c>
      <c r="C212" s="140" t="s">
        <v>24</v>
      </c>
      <c r="D212" s="123" t="s">
        <v>380</v>
      </c>
      <c r="E212" s="140" t="s">
        <v>499</v>
      </c>
      <c r="F212" s="251" t="s">
        <v>161</v>
      </c>
      <c r="G212" s="124" t="s">
        <v>500</v>
      </c>
      <c r="H212" s="251" t="s">
        <v>103</v>
      </c>
      <c r="I212" s="273" t="s">
        <v>163</v>
      </c>
      <c r="J212" s="136">
        <v>2022</v>
      </c>
      <c r="K212" s="136">
        <v>12111</v>
      </c>
      <c r="L212" s="172">
        <v>134540</v>
      </c>
      <c r="M212" s="124" t="s">
        <v>501</v>
      </c>
      <c r="N212" s="121" t="s">
        <v>161</v>
      </c>
      <c r="O212" s="170"/>
      <c r="P212" s="134"/>
      <c r="Q212" s="134">
        <f t="shared" si="12"/>
        <v>0</v>
      </c>
      <c r="R212" s="134"/>
      <c r="S212" s="134"/>
      <c r="T212" s="134"/>
      <c r="U212" s="134"/>
      <c r="V212" s="134"/>
      <c r="W212" s="134"/>
      <c r="X212" s="134"/>
      <c r="Y212" s="170"/>
      <c r="Z212" s="134"/>
      <c r="AA212" s="134"/>
      <c r="AB212" s="134"/>
      <c r="AC212" s="134"/>
    </row>
    <row r="213" spans="1:29" ht="24">
      <c r="A213" s="288">
        <v>40041010</v>
      </c>
      <c r="B213" s="136">
        <v>33</v>
      </c>
      <c r="C213" s="140" t="s">
        <v>24</v>
      </c>
      <c r="D213" s="123" t="s">
        <v>380</v>
      </c>
      <c r="E213" s="140" t="s">
        <v>502</v>
      </c>
      <c r="F213" s="251" t="s">
        <v>161</v>
      </c>
      <c r="G213" s="124" t="s">
        <v>503</v>
      </c>
      <c r="H213" s="251" t="s">
        <v>103</v>
      </c>
      <c r="I213" s="273" t="s">
        <v>219</v>
      </c>
      <c r="J213" s="136">
        <v>2022</v>
      </c>
      <c r="K213" s="136">
        <v>12111</v>
      </c>
      <c r="L213" s="172">
        <v>135000</v>
      </c>
      <c r="M213" s="118" t="s">
        <v>504</v>
      </c>
      <c r="N213" s="121" t="s">
        <v>161</v>
      </c>
      <c r="O213" s="170">
        <v>13500</v>
      </c>
      <c r="P213" s="134"/>
      <c r="Q213" s="134">
        <f t="shared" si="12"/>
        <v>0</v>
      </c>
      <c r="R213" s="134"/>
      <c r="S213" s="134"/>
      <c r="T213" s="134"/>
      <c r="U213" s="134"/>
      <c r="V213" s="134"/>
      <c r="W213" s="134"/>
      <c r="X213" s="134"/>
      <c r="Y213" s="170"/>
      <c r="Z213" s="134"/>
      <c r="AA213" s="134"/>
      <c r="AB213" s="134"/>
      <c r="AC213" s="134"/>
    </row>
    <row r="214" spans="1:29" ht="36">
      <c r="A214" s="288">
        <v>40041180</v>
      </c>
      <c r="B214" s="136">
        <v>33</v>
      </c>
      <c r="C214" s="140" t="s">
        <v>24</v>
      </c>
      <c r="D214" s="123" t="s">
        <v>380</v>
      </c>
      <c r="E214" s="140" t="s">
        <v>505</v>
      </c>
      <c r="F214" s="251" t="s">
        <v>161</v>
      </c>
      <c r="G214" s="124" t="s">
        <v>506</v>
      </c>
      <c r="H214" s="251" t="s">
        <v>103</v>
      </c>
      <c r="I214" s="273" t="s">
        <v>163</v>
      </c>
      <c r="J214" s="136">
        <v>2022</v>
      </c>
      <c r="K214" s="136">
        <v>12111</v>
      </c>
      <c r="L214" s="172">
        <v>132894</v>
      </c>
      <c r="M214" s="118" t="s">
        <v>768</v>
      </c>
      <c r="N214" s="121" t="s">
        <v>161</v>
      </c>
      <c r="O214" s="170"/>
      <c r="P214" s="134"/>
      <c r="Q214" s="134">
        <f t="shared" si="12"/>
        <v>0</v>
      </c>
      <c r="R214" s="134"/>
      <c r="S214" s="134"/>
      <c r="T214" s="134"/>
      <c r="U214" s="134"/>
      <c r="V214" s="134"/>
      <c r="W214" s="134"/>
      <c r="X214" s="134"/>
      <c r="Y214" s="170"/>
      <c r="Z214" s="134"/>
      <c r="AA214" s="134"/>
      <c r="AB214" s="134"/>
      <c r="AC214" s="134"/>
    </row>
    <row r="215" spans="1:29" ht="60">
      <c r="A215" s="288">
        <v>40041017</v>
      </c>
      <c r="B215" s="136">
        <v>33</v>
      </c>
      <c r="C215" s="140" t="s">
        <v>24</v>
      </c>
      <c r="D215" s="123" t="s">
        <v>380</v>
      </c>
      <c r="E215" s="140" t="s">
        <v>507</v>
      </c>
      <c r="F215" s="251" t="s">
        <v>161</v>
      </c>
      <c r="G215" s="124" t="s">
        <v>508</v>
      </c>
      <c r="H215" s="251" t="s">
        <v>103</v>
      </c>
      <c r="I215" s="273" t="s">
        <v>407</v>
      </c>
      <c r="J215" s="136">
        <v>2022</v>
      </c>
      <c r="K215" s="136">
        <v>12111</v>
      </c>
      <c r="L215" s="172">
        <v>76310</v>
      </c>
      <c r="M215" s="173" t="s">
        <v>311</v>
      </c>
      <c r="N215" s="121" t="s">
        <v>161</v>
      </c>
      <c r="O215" s="170"/>
      <c r="P215" s="134"/>
      <c r="Q215" s="134">
        <f t="shared" si="12"/>
        <v>0</v>
      </c>
      <c r="R215" s="134"/>
      <c r="S215" s="134"/>
      <c r="T215" s="134"/>
      <c r="U215" s="134"/>
      <c r="V215" s="134"/>
      <c r="W215" s="134"/>
      <c r="X215" s="134"/>
      <c r="Y215" s="170"/>
      <c r="Z215" s="134"/>
      <c r="AA215" s="134"/>
      <c r="AB215" s="134"/>
      <c r="AC215" s="134"/>
    </row>
    <row r="216" spans="1:29" ht="60">
      <c r="A216" s="288">
        <v>40041018</v>
      </c>
      <c r="B216" s="136">
        <v>33</v>
      </c>
      <c r="C216" s="140" t="s">
        <v>24</v>
      </c>
      <c r="D216" s="123" t="s">
        <v>380</v>
      </c>
      <c r="E216" s="140" t="s">
        <v>509</v>
      </c>
      <c r="F216" s="251" t="s">
        <v>161</v>
      </c>
      <c r="G216" s="124" t="s">
        <v>510</v>
      </c>
      <c r="H216" s="251" t="s">
        <v>103</v>
      </c>
      <c r="I216" s="273" t="s">
        <v>371</v>
      </c>
      <c r="J216" s="136">
        <v>2022</v>
      </c>
      <c r="K216" s="136">
        <v>12111</v>
      </c>
      <c r="L216" s="172">
        <v>108000</v>
      </c>
      <c r="M216" s="173" t="s">
        <v>311</v>
      </c>
      <c r="N216" s="121" t="s">
        <v>161</v>
      </c>
      <c r="O216" s="170"/>
      <c r="P216" s="134"/>
      <c r="Q216" s="134">
        <f t="shared" si="12"/>
        <v>0</v>
      </c>
      <c r="R216" s="134"/>
      <c r="S216" s="134"/>
      <c r="T216" s="134"/>
      <c r="U216" s="134"/>
      <c r="V216" s="134"/>
      <c r="W216" s="134"/>
      <c r="X216" s="134"/>
      <c r="Y216" s="170"/>
      <c r="Z216" s="134"/>
      <c r="AA216" s="134"/>
      <c r="AB216" s="134"/>
      <c r="AC216" s="134"/>
    </row>
    <row r="217" spans="1:29" ht="36">
      <c r="A217" s="288">
        <v>40041020</v>
      </c>
      <c r="B217" s="136">
        <v>33</v>
      </c>
      <c r="C217" s="140" t="s">
        <v>24</v>
      </c>
      <c r="D217" s="123" t="s">
        <v>380</v>
      </c>
      <c r="E217" s="140" t="s">
        <v>511</v>
      </c>
      <c r="F217" s="251" t="s">
        <v>161</v>
      </c>
      <c r="G217" s="124" t="s">
        <v>512</v>
      </c>
      <c r="H217" s="251" t="s">
        <v>103</v>
      </c>
      <c r="I217" s="272" t="s">
        <v>310</v>
      </c>
      <c r="J217" s="136">
        <v>2022</v>
      </c>
      <c r="K217" s="136">
        <v>12111</v>
      </c>
      <c r="L217" s="172">
        <v>135000</v>
      </c>
      <c r="M217" s="139" t="s">
        <v>504</v>
      </c>
      <c r="N217" s="121" t="s">
        <v>161</v>
      </c>
      <c r="O217" s="170"/>
      <c r="P217" s="134"/>
      <c r="Q217" s="134">
        <f t="shared" si="12"/>
        <v>0</v>
      </c>
      <c r="R217" s="134"/>
      <c r="S217" s="134"/>
      <c r="T217" s="134"/>
      <c r="U217" s="181"/>
      <c r="V217" s="134"/>
      <c r="W217" s="134"/>
      <c r="X217" s="134"/>
      <c r="Y217" s="134"/>
      <c r="Z217" s="134"/>
      <c r="AA217" s="134"/>
      <c r="AB217" s="134"/>
      <c r="AC217" s="190"/>
    </row>
    <row r="218" spans="1:29" ht="36">
      <c r="A218" s="288">
        <v>40041022</v>
      </c>
      <c r="B218" s="136">
        <v>33</v>
      </c>
      <c r="C218" s="140" t="s">
        <v>24</v>
      </c>
      <c r="D218" s="123" t="s">
        <v>380</v>
      </c>
      <c r="E218" s="140" t="s">
        <v>513</v>
      </c>
      <c r="F218" s="251" t="s">
        <v>161</v>
      </c>
      <c r="G218" s="124" t="s">
        <v>514</v>
      </c>
      <c r="H218" s="251" t="s">
        <v>103</v>
      </c>
      <c r="I218" s="272" t="s">
        <v>371</v>
      </c>
      <c r="J218" s="136">
        <v>2022</v>
      </c>
      <c r="K218" s="136">
        <v>12111</v>
      </c>
      <c r="L218" s="172">
        <v>81710</v>
      </c>
      <c r="M218" s="280" t="s">
        <v>515</v>
      </c>
      <c r="N218" s="121" t="s">
        <v>161</v>
      </c>
      <c r="O218" s="170"/>
      <c r="P218" s="134"/>
      <c r="Q218" s="134">
        <f t="shared" si="12"/>
        <v>0</v>
      </c>
      <c r="R218" s="134"/>
      <c r="S218" s="134"/>
      <c r="T218" s="134"/>
      <c r="U218" s="181"/>
      <c r="V218" s="134"/>
      <c r="W218" s="134"/>
      <c r="X218" s="134"/>
      <c r="Y218" s="134"/>
      <c r="Z218" s="134"/>
      <c r="AA218" s="134"/>
      <c r="AB218" s="134"/>
      <c r="AC218" s="190"/>
    </row>
    <row r="219" spans="1:29" ht="36">
      <c r="A219" s="288">
        <v>40041026</v>
      </c>
      <c r="B219" s="136">
        <v>33</v>
      </c>
      <c r="C219" s="140" t="s">
        <v>24</v>
      </c>
      <c r="D219" s="123" t="s">
        <v>380</v>
      </c>
      <c r="E219" s="140" t="s">
        <v>516</v>
      </c>
      <c r="F219" s="251" t="s">
        <v>161</v>
      </c>
      <c r="G219" s="124" t="s">
        <v>517</v>
      </c>
      <c r="H219" s="251" t="s">
        <v>103</v>
      </c>
      <c r="I219" s="272" t="s">
        <v>371</v>
      </c>
      <c r="J219" s="136">
        <v>2022</v>
      </c>
      <c r="K219" s="136">
        <v>12111</v>
      </c>
      <c r="L219" s="172">
        <v>135000</v>
      </c>
      <c r="M219" s="280" t="s">
        <v>515</v>
      </c>
      <c r="N219" s="121" t="s">
        <v>161</v>
      </c>
      <c r="O219" s="170"/>
      <c r="P219" s="134"/>
      <c r="Q219" s="134">
        <f t="shared" si="12"/>
        <v>0</v>
      </c>
      <c r="R219" s="134"/>
      <c r="S219" s="134"/>
      <c r="T219" s="134"/>
      <c r="U219" s="181"/>
      <c r="V219" s="134"/>
      <c r="W219" s="134"/>
      <c r="X219" s="134"/>
      <c r="Y219" s="134"/>
      <c r="Z219" s="134"/>
      <c r="AA219" s="134"/>
      <c r="AB219" s="134"/>
      <c r="AC219" s="190"/>
    </row>
    <row r="220" spans="1:29" ht="36">
      <c r="A220" s="288">
        <v>40041027</v>
      </c>
      <c r="B220" s="136">
        <v>33</v>
      </c>
      <c r="C220" s="140" t="s">
        <v>24</v>
      </c>
      <c r="D220" s="123" t="s">
        <v>380</v>
      </c>
      <c r="E220" s="140" t="s">
        <v>518</v>
      </c>
      <c r="F220" s="251" t="s">
        <v>161</v>
      </c>
      <c r="G220" s="124" t="s">
        <v>519</v>
      </c>
      <c r="H220" s="251" t="s">
        <v>103</v>
      </c>
      <c r="I220" s="272" t="s">
        <v>371</v>
      </c>
      <c r="J220" s="136">
        <v>2022</v>
      </c>
      <c r="K220" s="136">
        <v>12111</v>
      </c>
      <c r="L220" s="172">
        <v>103770</v>
      </c>
      <c r="M220" s="280" t="s">
        <v>515</v>
      </c>
      <c r="N220" s="121" t="s">
        <v>161</v>
      </c>
      <c r="O220" s="170"/>
      <c r="P220" s="134"/>
      <c r="Q220" s="134">
        <f t="shared" si="12"/>
        <v>0</v>
      </c>
      <c r="R220" s="134"/>
      <c r="S220" s="134"/>
      <c r="T220" s="134"/>
      <c r="U220" s="181"/>
      <c r="V220" s="134"/>
      <c r="W220" s="134"/>
      <c r="X220" s="134"/>
      <c r="Y220" s="134"/>
      <c r="Z220" s="134"/>
      <c r="AA220" s="134"/>
      <c r="AB220" s="134"/>
      <c r="AC220" s="190"/>
    </row>
    <row r="221" spans="1:29" ht="36">
      <c r="A221" s="288">
        <v>40041028</v>
      </c>
      <c r="B221" s="136">
        <v>33</v>
      </c>
      <c r="C221" s="140" t="s">
        <v>24</v>
      </c>
      <c r="D221" s="123" t="s">
        <v>380</v>
      </c>
      <c r="E221" s="140" t="s">
        <v>520</v>
      </c>
      <c r="F221" s="251" t="s">
        <v>161</v>
      </c>
      <c r="G221" s="124" t="s">
        <v>521</v>
      </c>
      <c r="H221" s="251" t="s">
        <v>103</v>
      </c>
      <c r="I221" s="272" t="s">
        <v>371</v>
      </c>
      <c r="J221" s="136">
        <v>2022</v>
      </c>
      <c r="K221" s="136">
        <v>12111</v>
      </c>
      <c r="L221" s="172">
        <v>135000</v>
      </c>
      <c r="M221" s="280" t="s">
        <v>515</v>
      </c>
      <c r="N221" s="121" t="s">
        <v>161</v>
      </c>
      <c r="O221" s="170"/>
      <c r="P221" s="134"/>
      <c r="Q221" s="134">
        <f t="shared" si="12"/>
        <v>0</v>
      </c>
      <c r="R221" s="134"/>
      <c r="S221" s="134"/>
      <c r="T221" s="134"/>
      <c r="U221" s="181"/>
      <c r="V221" s="134"/>
      <c r="W221" s="134"/>
      <c r="X221" s="134"/>
      <c r="Y221" s="134"/>
      <c r="Z221" s="134"/>
      <c r="AA221" s="134"/>
      <c r="AB221" s="134"/>
      <c r="AC221" s="190"/>
    </row>
    <row r="222" spans="1:29" ht="36">
      <c r="A222" s="288">
        <v>40041031</v>
      </c>
      <c r="B222" s="136">
        <v>33</v>
      </c>
      <c r="C222" s="140" t="s">
        <v>24</v>
      </c>
      <c r="D222" s="123" t="s">
        <v>380</v>
      </c>
      <c r="E222" s="140" t="s">
        <v>522</v>
      </c>
      <c r="F222" s="251" t="s">
        <v>161</v>
      </c>
      <c r="G222" s="124" t="s">
        <v>523</v>
      </c>
      <c r="H222" s="251" t="s">
        <v>103</v>
      </c>
      <c r="I222" s="272" t="s">
        <v>371</v>
      </c>
      <c r="J222" s="117">
        <v>2022</v>
      </c>
      <c r="K222" s="117">
        <v>12111</v>
      </c>
      <c r="L222" s="172">
        <v>135000</v>
      </c>
      <c r="M222" s="280" t="s">
        <v>515</v>
      </c>
      <c r="N222" s="121" t="s">
        <v>161</v>
      </c>
      <c r="O222" s="170"/>
      <c r="P222" s="134"/>
      <c r="Q222" s="134">
        <f t="shared" si="12"/>
        <v>0</v>
      </c>
      <c r="R222" s="134"/>
      <c r="S222" s="134"/>
      <c r="T222" s="134"/>
      <c r="U222" s="181"/>
      <c r="V222" s="134"/>
      <c r="W222" s="134"/>
      <c r="X222" s="134"/>
      <c r="Y222" s="134"/>
      <c r="Z222" s="134"/>
      <c r="AA222" s="134"/>
      <c r="AB222" s="134"/>
      <c r="AC222" s="134"/>
    </row>
    <row r="223" spans="1:29" ht="36">
      <c r="A223" s="288">
        <v>40041181</v>
      </c>
      <c r="B223" s="136">
        <v>33</v>
      </c>
      <c r="C223" s="140" t="s">
        <v>24</v>
      </c>
      <c r="D223" s="123" t="s">
        <v>380</v>
      </c>
      <c r="E223" s="140" t="s">
        <v>524</v>
      </c>
      <c r="F223" s="251" t="s">
        <v>161</v>
      </c>
      <c r="G223" s="124" t="s">
        <v>525</v>
      </c>
      <c r="H223" s="251" t="s">
        <v>103</v>
      </c>
      <c r="I223" s="272" t="s">
        <v>310</v>
      </c>
      <c r="J223" s="136">
        <v>2022</v>
      </c>
      <c r="K223" s="136">
        <v>12111</v>
      </c>
      <c r="L223" s="172">
        <v>132205</v>
      </c>
      <c r="M223" s="118" t="s">
        <v>768</v>
      </c>
      <c r="N223" s="121" t="s">
        <v>161</v>
      </c>
      <c r="O223" s="170"/>
      <c r="P223" s="134"/>
      <c r="Q223" s="134">
        <f t="shared" si="12"/>
        <v>0</v>
      </c>
      <c r="R223" s="134"/>
      <c r="S223" s="134"/>
      <c r="T223" s="134"/>
      <c r="U223" s="181"/>
      <c r="V223" s="134"/>
      <c r="W223" s="134"/>
      <c r="X223" s="134"/>
      <c r="Y223" s="134"/>
      <c r="Z223" s="134"/>
      <c r="AA223" s="134"/>
      <c r="AB223" s="134"/>
      <c r="AC223" s="190"/>
    </row>
    <row r="224" spans="1:29" ht="48">
      <c r="A224" s="288">
        <v>40041033</v>
      </c>
      <c r="B224" s="136">
        <v>33</v>
      </c>
      <c r="C224" s="140" t="s">
        <v>24</v>
      </c>
      <c r="D224" s="123" t="s">
        <v>380</v>
      </c>
      <c r="E224" s="140" t="s">
        <v>526</v>
      </c>
      <c r="F224" s="251" t="s">
        <v>161</v>
      </c>
      <c r="G224" s="124" t="s">
        <v>527</v>
      </c>
      <c r="H224" s="251" t="s">
        <v>103</v>
      </c>
      <c r="I224" s="272" t="s">
        <v>371</v>
      </c>
      <c r="J224" s="136">
        <v>2022</v>
      </c>
      <c r="K224" s="136">
        <v>12111</v>
      </c>
      <c r="L224" s="172">
        <v>134807</v>
      </c>
      <c r="M224" s="124" t="s">
        <v>528</v>
      </c>
      <c r="N224" s="121" t="s">
        <v>161</v>
      </c>
      <c r="O224" s="170"/>
      <c r="P224" s="134"/>
      <c r="Q224" s="134">
        <f t="shared" si="12"/>
        <v>0</v>
      </c>
      <c r="R224" s="134"/>
      <c r="S224" s="134"/>
      <c r="T224" s="134"/>
      <c r="U224" s="181"/>
      <c r="V224" s="134"/>
      <c r="W224" s="134"/>
      <c r="X224" s="134"/>
      <c r="Y224" s="134"/>
      <c r="Z224" s="134"/>
      <c r="AA224" s="134"/>
      <c r="AB224" s="134"/>
      <c r="AC224" s="190"/>
    </row>
    <row r="225" spans="1:29" ht="36">
      <c r="A225" s="288">
        <v>40041183</v>
      </c>
      <c r="B225" s="136">
        <v>33</v>
      </c>
      <c r="C225" s="140" t="s">
        <v>24</v>
      </c>
      <c r="D225" s="123" t="s">
        <v>380</v>
      </c>
      <c r="E225" s="140" t="s">
        <v>529</v>
      </c>
      <c r="F225" s="251" t="s">
        <v>161</v>
      </c>
      <c r="G225" s="124" t="s">
        <v>530</v>
      </c>
      <c r="H225" s="251" t="s">
        <v>103</v>
      </c>
      <c r="I225" s="272" t="s">
        <v>310</v>
      </c>
      <c r="J225" s="136">
        <v>2022</v>
      </c>
      <c r="K225" s="136">
        <v>12111</v>
      </c>
      <c r="L225" s="172">
        <v>115155</v>
      </c>
      <c r="M225" s="118" t="s">
        <v>768</v>
      </c>
      <c r="N225" s="121" t="s">
        <v>161</v>
      </c>
      <c r="O225" s="170"/>
      <c r="P225" s="134"/>
      <c r="Q225" s="134">
        <f t="shared" si="12"/>
        <v>0</v>
      </c>
      <c r="R225" s="134"/>
      <c r="S225" s="134"/>
      <c r="T225" s="134"/>
      <c r="U225" s="181"/>
      <c r="V225" s="134"/>
      <c r="W225" s="134"/>
      <c r="X225" s="134"/>
      <c r="Y225" s="134"/>
      <c r="Z225" s="134"/>
      <c r="AA225" s="134"/>
      <c r="AB225" s="134"/>
      <c r="AC225" s="190"/>
    </row>
    <row r="226" spans="1:29" ht="60">
      <c r="A226" s="288">
        <v>40041037</v>
      </c>
      <c r="B226" s="136">
        <v>33</v>
      </c>
      <c r="C226" s="140" t="s">
        <v>24</v>
      </c>
      <c r="D226" s="123" t="s">
        <v>380</v>
      </c>
      <c r="E226" s="140" t="s">
        <v>531</v>
      </c>
      <c r="F226" s="251" t="s">
        <v>161</v>
      </c>
      <c r="G226" s="124" t="s">
        <v>532</v>
      </c>
      <c r="H226" s="251" t="s">
        <v>103</v>
      </c>
      <c r="I226" s="272" t="s">
        <v>310</v>
      </c>
      <c r="J226" s="136">
        <v>2022</v>
      </c>
      <c r="K226" s="136">
        <v>12111</v>
      </c>
      <c r="L226" s="172">
        <v>134264</v>
      </c>
      <c r="M226" s="137" t="s">
        <v>533</v>
      </c>
      <c r="N226" s="121" t="s">
        <v>161</v>
      </c>
      <c r="O226" s="170"/>
      <c r="P226" s="134"/>
      <c r="Q226" s="134">
        <f t="shared" si="12"/>
        <v>0</v>
      </c>
      <c r="R226" s="134"/>
      <c r="S226" s="134"/>
      <c r="T226" s="134"/>
      <c r="U226" s="181"/>
      <c r="V226" s="134"/>
      <c r="W226" s="134"/>
      <c r="X226" s="134"/>
      <c r="Y226" s="134"/>
      <c r="Z226" s="134"/>
      <c r="AA226" s="134"/>
      <c r="AB226" s="134"/>
      <c r="AC226" s="190"/>
    </row>
    <row r="227" spans="1:29" ht="48">
      <c r="A227" s="288">
        <v>40041040</v>
      </c>
      <c r="B227" s="136">
        <v>33</v>
      </c>
      <c r="C227" s="140" t="s">
        <v>24</v>
      </c>
      <c r="D227" s="123" t="s">
        <v>380</v>
      </c>
      <c r="E227" s="140" t="s">
        <v>534</v>
      </c>
      <c r="F227" s="251" t="s">
        <v>161</v>
      </c>
      <c r="G227" s="124" t="s">
        <v>535</v>
      </c>
      <c r="H227" s="251" t="s">
        <v>103</v>
      </c>
      <c r="I227" s="272" t="s">
        <v>310</v>
      </c>
      <c r="J227" s="136">
        <v>2022</v>
      </c>
      <c r="K227" s="136">
        <v>12111</v>
      </c>
      <c r="L227" s="172">
        <v>134770</v>
      </c>
      <c r="M227" s="137" t="s">
        <v>536</v>
      </c>
      <c r="N227" s="121" t="s">
        <v>161</v>
      </c>
      <c r="O227" s="170">
        <v>40100</v>
      </c>
      <c r="P227" s="134"/>
      <c r="Q227" s="134">
        <f t="shared" si="12"/>
        <v>0</v>
      </c>
      <c r="R227" s="134"/>
      <c r="S227" s="134"/>
      <c r="T227" s="134"/>
      <c r="U227" s="181"/>
      <c r="V227" s="134"/>
      <c r="W227" s="134"/>
      <c r="X227" s="134"/>
      <c r="Y227" s="134"/>
      <c r="Z227" s="134"/>
      <c r="AA227" s="134"/>
      <c r="AB227" s="134"/>
      <c r="AC227" s="190"/>
    </row>
    <row r="228" spans="1:29" ht="36">
      <c r="A228" s="288">
        <v>40041044</v>
      </c>
      <c r="B228" s="136">
        <v>33</v>
      </c>
      <c r="C228" s="140" t="s">
        <v>24</v>
      </c>
      <c r="D228" s="123" t="s">
        <v>380</v>
      </c>
      <c r="E228" s="140" t="s">
        <v>537</v>
      </c>
      <c r="F228" s="251" t="s">
        <v>161</v>
      </c>
      <c r="G228" s="124" t="s">
        <v>538</v>
      </c>
      <c r="H228" s="251" t="s">
        <v>103</v>
      </c>
      <c r="I228" s="272" t="s">
        <v>310</v>
      </c>
      <c r="J228" s="136">
        <v>2022</v>
      </c>
      <c r="K228" s="136">
        <v>12111</v>
      </c>
      <c r="L228" s="172">
        <v>135000</v>
      </c>
      <c r="M228" s="124" t="s">
        <v>539</v>
      </c>
      <c r="N228" s="121" t="s">
        <v>161</v>
      </c>
      <c r="O228" s="170"/>
      <c r="P228" s="134"/>
      <c r="Q228" s="134">
        <f t="shared" si="12"/>
        <v>0</v>
      </c>
      <c r="R228" s="134"/>
      <c r="S228" s="134"/>
      <c r="T228" s="134"/>
      <c r="U228" s="181"/>
      <c r="V228" s="134"/>
      <c r="W228" s="134"/>
      <c r="X228" s="134"/>
      <c r="Y228" s="134"/>
      <c r="Z228" s="134"/>
      <c r="AA228" s="134"/>
      <c r="AB228" s="134"/>
      <c r="AC228" s="190"/>
    </row>
    <row r="229" spans="1:29" ht="36">
      <c r="A229" s="288">
        <v>40041048</v>
      </c>
      <c r="B229" s="136">
        <v>33</v>
      </c>
      <c r="C229" s="140" t="s">
        <v>24</v>
      </c>
      <c r="D229" s="123" t="s">
        <v>380</v>
      </c>
      <c r="E229" s="140" t="s">
        <v>540</v>
      </c>
      <c r="F229" s="251" t="s">
        <v>161</v>
      </c>
      <c r="G229" s="124" t="s">
        <v>541</v>
      </c>
      <c r="H229" s="251" t="s">
        <v>103</v>
      </c>
      <c r="I229" s="272" t="s">
        <v>168</v>
      </c>
      <c r="J229" s="136">
        <v>2022</v>
      </c>
      <c r="K229" s="136">
        <v>12111</v>
      </c>
      <c r="L229" s="172">
        <v>100135</v>
      </c>
      <c r="M229" s="285" t="s">
        <v>539</v>
      </c>
      <c r="N229" s="121" t="s">
        <v>161</v>
      </c>
      <c r="O229" s="170"/>
      <c r="P229" s="134"/>
      <c r="Q229" s="134">
        <f t="shared" si="12"/>
        <v>0</v>
      </c>
      <c r="R229" s="134"/>
      <c r="S229" s="134"/>
      <c r="T229" s="134"/>
      <c r="U229" s="181"/>
      <c r="V229" s="134"/>
      <c r="W229" s="134"/>
      <c r="X229" s="134"/>
      <c r="Y229" s="134"/>
      <c r="Z229" s="134"/>
      <c r="AA229" s="134"/>
      <c r="AB229" s="134"/>
      <c r="AC229" s="190"/>
    </row>
    <row r="230" spans="1:29" ht="36">
      <c r="A230" s="288">
        <v>40041150</v>
      </c>
      <c r="B230" s="136">
        <v>33</v>
      </c>
      <c r="C230" s="140" t="s">
        <v>24</v>
      </c>
      <c r="D230" s="123" t="s">
        <v>380</v>
      </c>
      <c r="E230" s="140" t="s">
        <v>542</v>
      </c>
      <c r="F230" s="251" t="s">
        <v>161</v>
      </c>
      <c r="G230" s="124" t="s">
        <v>543</v>
      </c>
      <c r="H230" s="251" t="s">
        <v>103</v>
      </c>
      <c r="I230" s="272" t="s">
        <v>407</v>
      </c>
      <c r="J230" s="136">
        <v>2022</v>
      </c>
      <c r="K230" s="136">
        <v>12111</v>
      </c>
      <c r="L230" s="172">
        <v>107530</v>
      </c>
      <c r="M230" s="124" t="s">
        <v>539</v>
      </c>
      <c r="N230" s="121" t="s">
        <v>161</v>
      </c>
      <c r="O230" s="170"/>
      <c r="P230" s="134"/>
      <c r="Q230" s="134">
        <f t="shared" si="12"/>
        <v>0</v>
      </c>
      <c r="R230" s="134"/>
      <c r="S230" s="134"/>
      <c r="T230" s="134"/>
      <c r="U230" s="181"/>
      <c r="V230" s="134"/>
      <c r="W230" s="134"/>
      <c r="X230" s="134"/>
      <c r="Y230" s="134"/>
      <c r="Z230" s="134"/>
      <c r="AA230" s="134"/>
      <c r="AB230" s="134"/>
      <c r="AC230" s="190"/>
    </row>
    <row r="231" spans="1:29" ht="48">
      <c r="A231" s="288">
        <v>40041152</v>
      </c>
      <c r="B231" s="136">
        <v>33</v>
      </c>
      <c r="C231" s="140" t="s">
        <v>24</v>
      </c>
      <c r="D231" s="123" t="s">
        <v>380</v>
      </c>
      <c r="E231" s="140" t="s">
        <v>544</v>
      </c>
      <c r="F231" s="251" t="s">
        <v>161</v>
      </c>
      <c r="G231" s="124" t="s">
        <v>545</v>
      </c>
      <c r="H231" s="251" t="s">
        <v>103</v>
      </c>
      <c r="I231" s="272" t="s">
        <v>407</v>
      </c>
      <c r="J231" s="136">
        <v>2022</v>
      </c>
      <c r="K231" s="136">
        <v>12111</v>
      </c>
      <c r="L231" s="172">
        <v>133420</v>
      </c>
      <c r="M231" s="285" t="s">
        <v>546</v>
      </c>
      <c r="N231" s="121" t="s">
        <v>161</v>
      </c>
      <c r="O231" s="170"/>
      <c r="P231" s="134"/>
      <c r="Q231" s="134">
        <f t="shared" si="12"/>
        <v>0</v>
      </c>
      <c r="R231" s="134"/>
      <c r="S231" s="134"/>
      <c r="T231" s="134"/>
      <c r="U231" s="181"/>
      <c r="V231" s="134"/>
      <c r="W231" s="134"/>
      <c r="X231" s="134"/>
      <c r="Y231" s="134"/>
      <c r="Z231" s="134"/>
      <c r="AA231" s="134"/>
      <c r="AB231" s="134"/>
      <c r="AC231" s="190"/>
    </row>
    <row r="232" spans="1:29" ht="36">
      <c r="A232" s="288">
        <v>40041169</v>
      </c>
      <c r="B232" s="136">
        <v>33</v>
      </c>
      <c r="C232" s="140" t="s">
        <v>24</v>
      </c>
      <c r="D232" s="123" t="s">
        <v>380</v>
      </c>
      <c r="E232" s="140" t="s">
        <v>547</v>
      </c>
      <c r="F232" s="251" t="s">
        <v>161</v>
      </c>
      <c r="G232" s="124" t="s">
        <v>548</v>
      </c>
      <c r="H232" s="251" t="s">
        <v>103</v>
      </c>
      <c r="I232" s="272" t="s">
        <v>371</v>
      </c>
      <c r="J232" s="117">
        <v>2022</v>
      </c>
      <c r="K232" s="117">
        <v>12150</v>
      </c>
      <c r="L232" s="172">
        <v>135000</v>
      </c>
      <c r="M232" s="124" t="s">
        <v>539</v>
      </c>
      <c r="N232" s="121" t="s">
        <v>161</v>
      </c>
      <c r="O232" s="170"/>
      <c r="P232" s="134"/>
      <c r="Q232" s="134">
        <f t="shared" si="12"/>
        <v>0</v>
      </c>
      <c r="R232" s="134"/>
      <c r="S232" s="134"/>
      <c r="T232" s="134"/>
      <c r="U232" s="181"/>
      <c r="V232" s="134"/>
      <c r="W232" s="134"/>
      <c r="X232" s="134"/>
      <c r="Y232" s="134"/>
      <c r="Z232" s="134"/>
      <c r="AA232" s="134"/>
      <c r="AB232" s="134"/>
      <c r="AC232" s="190"/>
    </row>
    <row r="233" spans="1:29" ht="36">
      <c r="A233" s="288">
        <v>40041171</v>
      </c>
      <c r="B233" s="136">
        <v>33</v>
      </c>
      <c r="C233" s="140" t="s">
        <v>24</v>
      </c>
      <c r="D233" s="123" t="s">
        <v>380</v>
      </c>
      <c r="E233" s="140" t="s">
        <v>549</v>
      </c>
      <c r="F233" s="251" t="s">
        <v>161</v>
      </c>
      <c r="G233" s="124" t="s">
        <v>550</v>
      </c>
      <c r="H233" s="251" t="s">
        <v>103</v>
      </c>
      <c r="I233" s="272" t="s">
        <v>371</v>
      </c>
      <c r="J233" s="117">
        <v>2022</v>
      </c>
      <c r="K233" s="117">
        <v>12150</v>
      </c>
      <c r="L233" s="172">
        <v>135000</v>
      </c>
      <c r="M233" s="124" t="s">
        <v>539</v>
      </c>
      <c r="N233" s="121" t="s">
        <v>161</v>
      </c>
      <c r="O233" s="170"/>
      <c r="P233" s="134"/>
      <c r="Q233" s="134">
        <f t="shared" si="12"/>
        <v>0</v>
      </c>
      <c r="R233" s="134"/>
      <c r="S233" s="134"/>
      <c r="T233" s="134"/>
      <c r="U233" s="181"/>
      <c r="V233" s="134"/>
      <c r="W233" s="134"/>
      <c r="X233" s="134"/>
      <c r="Y233" s="134"/>
      <c r="Z233" s="134"/>
      <c r="AA233" s="134"/>
      <c r="AB233" s="134"/>
      <c r="AC233" s="190"/>
    </row>
    <row r="234" spans="1:29" ht="36">
      <c r="A234" s="288">
        <v>40041173</v>
      </c>
      <c r="B234" s="136">
        <v>33</v>
      </c>
      <c r="C234" s="140" t="s">
        <v>24</v>
      </c>
      <c r="D234" s="123" t="s">
        <v>380</v>
      </c>
      <c r="E234" s="140" t="s">
        <v>551</v>
      </c>
      <c r="F234" s="251" t="s">
        <v>161</v>
      </c>
      <c r="G234" s="124" t="s">
        <v>552</v>
      </c>
      <c r="H234" s="251" t="s">
        <v>103</v>
      </c>
      <c r="I234" s="272" t="s">
        <v>371</v>
      </c>
      <c r="J234" s="117">
        <v>2022</v>
      </c>
      <c r="K234" s="117">
        <v>12150</v>
      </c>
      <c r="L234" s="172">
        <v>135000</v>
      </c>
      <c r="M234" s="285" t="s">
        <v>539</v>
      </c>
      <c r="N234" s="121" t="s">
        <v>161</v>
      </c>
      <c r="O234" s="170"/>
      <c r="P234" s="134"/>
      <c r="Q234" s="134">
        <f t="shared" si="12"/>
        <v>0</v>
      </c>
      <c r="R234" s="134"/>
      <c r="S234" s="134"/>
      <c r="T234" s="134"/>
      <c r="U234" s="181"/>
      <c r="V234" s="134"/>
      <c r="W234" s="134"/>
      <c r="X234" s="134"/>
      <c r="Y234" s="134"/>
      <c r="Z234" s="134"/>
      <c r="AA234" s="134"/>
      <c r="AB234" s="134"/>
      <c r="AC234" s="190"/>
    </row>
    <row r="235" spans="1:29" ht="60">
      <c r="A235" s="288">
        <v>40043869</v>
      </c>
      <c r="B235" s="136">
        <v>33</v>
      </c>
      <c r="C235" s="140" t="s">
        <v>24</v>
      </c>
      <c r="D235" s="123" t="s">
        <v>380</v>
      </c>
      <c r="E235" s="140" t="s">
        <v>553</v>
      </c>
      <c r="F235" s="251" t="s">
        <v>161</v>
      </c>
      <c r="G235" s="124" t="s">
        <v>554</v>
      </c>
      <c r="H235" s="251" t="s">
        <v>103</v>
      </c>
      <c r="I235" s="272" t="s">
        <v>310</v>
      </c>
      <c r="J235" s="117">
        <v>2022</v>
      </c>
      <c r="K235" s="117">
        <v>12453</v>
      </c>
      <c r="L235" s="172">
        <v>198720</v>
      </c>
      <c r="M235" s="173" t="s">
        <v>311</v>
      </c>
      <c r="N235" s="121" t="s">
        <v>161</v>
      </c>
      <c r="O235" s="170"/>
      <c r="P235" s="134"/>
      <c r="Q235" s="134">
        <f t="shared" si="12"/>
        <v>0</v>
      </c>
      <c r="R235" s="134"/>
      <c r="S235" s="134"/>
      <c r="T235" s="134"/>
      <c r="U235" s="181"/>
      <c r="V235" s="134"/>
      <c r="W235" s="134"/>
      <c r="X235" s="134"/>
      <c r="Y235" s="134"/>
      <c r="Z235" s="134"/>
      <c r="AA235" s="134"/>
      <c r="AB235" s="134"/>
      <c r="AC235" s="190"/>
    </row>
    <row r="236" spans="1:29" ht="48">
      <c r="A236" s="288">
        <v>40035673</v>
      </c>
      <c r="B236" s="136">
        <v>33</v>
      </c>
      <c r="C236" s="140" t="s">
        <v>24</v>
      </c>
      <c r="D236" s="123" t="s">
        <v>380</v>
      </c>
      <c r="E236" s="140" t="s">
        <v>555</v>
      </c>
      <c r="F236" s="251" t="s">
        <v>161</v>
      </c>
      <c r="G236" s="124" t="s">
        <v>556</v>
      </c>
      <c r="H236" s="251" t="s">
        <v>103</v>
      </c>
      <c r="I236" s="272" t="s">
        <v>310</v>
      </c>
      <c r="J236" s="117">
        <v>2022</v>
      </c>
      <c r="K236" s="117">
        <v>11932</v>
      </c>
      <c r="L236" s="172">
        <v>402112</v>
      </c>
      <c r="M236" s="118" t="s">
        <v>768</v>
      </c>
      <c r="N236" s="121" t="s">
        <v>161</v>
      </c>
      <c r="O236" s="170"/>
      <c r="P236" s="134"/>
      <c r="Q236" s="134">
        <f t="shared" si="12"/>
        <v>0</v>
      </c>
      <c r="R236" s="134"/>
      <c r="S236" s="134"/>
      <c r="T236" s="134"/>
      <c r="U236" s="181"/>
      <c r="V236" s="134"/>
      <c r="W236" s="134"/>
      <c r="X236" s="134"/>
      <c r="Y236" s="134"/>
      <c r="Z236" s="134"/>
      <c r="AA236" s="134"/>
      <c r="AB236" s="134"/>
      <c r="AC236" s="134"/>
    </row>
    <row r="237" spans="1:29" ht="36">
      <c r="A237" s="288">
        <v>40045967</v>
      </c>
      <c r="B237" s="136">
        <v>33</v>
      </c>
      <c r="C237" s="140" t="s">
        <v>24</v>
      </c>
      <c r="D237" s="123" t="s">
        <v>380</v>
      </c>
      <c r="E237" s="140" t="s">
        <v>557</v>
      </c>
      <c r="F237" s="251" t="s">
        <v>161</v>
      </c>
      <c r="G237" s="124" t="s">
        <v>558</v>
      </c>
      <c r="H237" s="251" t="s">
        <v>103</v>
      </c>
      <c r="I237" s="272" t="s">
        <v>219</v>
      </c>
      <c r="J237" s="117">
        <v>2022</v>
      </c>
      <c r="K237" s="117">
        <v>12550</v>
      </c>
      <c r="L237" s="172">
        <v>270000</v>
      </c>
      <c r="M237" s="118" t="s">
        <v>559</v>
      </c>
      <c r="N237" s="121" t="s">
        <v>161</v>
      </c>
      <c r="O237" s="170"/>
      <c r="P237" s="134"/>
      <c r="Q237" s="134">
        <f t="shared" si="12"/>
        <v>0</v>
      </c>
      <c r="R237" s="134"/>
      <c r="S237" s="134"/>
      <c r="T237" s="134"/>
      <c r="U237" s="181"/>
      <c r="V237" s="134"/>
      <c r="W237" s="134"/>
      <c r="X237" s="134"/>
      <c r="Y237" s="134"/>
      <c r="Z237" s="134"/>
      <c r="AA237" s="134"/>
      <c r="AB237" s="134"/>
      <c r="AC237" s="134"/>
    </row>
    <row r="238" spans="1:29" ht="36">
      <c r="A238" s="288">
        <v>40043174</v>
      </c>
      <c r="B238" s="136">
        <v>33</v>
      </c>
      <c r="C238" s="140" t="s">
        <v>24</v>
      </c>
      <c r="D238" s="251" t="s">
        <v>380</v>
      </c>
      <c r="E238" s="136" t="s">
        <v>560</v>
      </c>
      <c r="F238" s="140" t="s">
        <v>161</v>
      </c>
      <c r="G238" s="251" t="s">
        <v>561</v>
      </c>
      <c r="H238" s="251" t="s">
        <v>103</v>
      </c>
      <c r="I238" s="272" t="s">
        <v>414</v>
      </c>
      <c r="J238" s="117">
        <v>2022</v>
      </c>
      <c r="K238" s="117">
        <v>12550</v>
      </c>
      <c r="L238" s="172">
        <v>118118</v>
      </c>
      <c r="M238" s="281" t="s">
        <v>562</v>
      </c>
      <c r="N238" s="121" t="s">
        <v>161</v>
      </c>
      <c r="O238" s="268"/>
      <c r="P238" s="269"/>
      <c r="Q238" s="269">
        <f t="shared" si="12"/>
        <v>0</v>
      </c>
      <c r="R238" s="269"/>
      <c r="S238" s="269"/>
      <c r="T238" s="269"/>
      <c r="U238" s="270"/>
      <c r="V238" s="269"/>
      <c r="W238" s="269"/>
      <c r="X238" s="269"/>
      <c r="Y238" s="269"/>
      <c r="Z238" s="269"/>
      <c r="AA238" s="269"/>
      <c r="AB238" s="269"/>
      <c r="AC238" s="269"/>
    </row>
    <row r="239" spans="1:29" ht="48">
      <c r="A239" s="288">
        <v>40046018</v>
      </c>
      <c r="B239" s="136">
        <v>33</v>
      </c>
      <c r="C239" s="140" t="s">
        <v>24</v>
      </c>
      <c r="D239" s="123" t="s">
        <v>380</v>
      </c>
      <c r="E239" s="140" t="s">
        <v>563</v>
      </c>
      <c r="F239" s="251" t="s">
        <v>161</v>
      </c>
      <c r="G239" s="124" t="s">
        <v>564</v>
      </c>
      <c r="H239" s="352" t="s">
        <v>103</v>
      </c>
      <c r="I239" s="272" t="s">
        <v>414</v>
      </c>
      <c r="J239" s="117">
        <v>2022</v>
      </c>
      <c r="K239" s="117">
        <v>12627</v>
      </c>
      <c r="L239" s="172">
        <v>690507</v>
      </c>
      <c r="M239" s="274" t="s">
        <v>565</v>
      </c>
      <c r="N239" s="121" t="s">
        <v>161</v>
      </c>
      <c r="O239" s="170"/>
      <c r="P239" s="134"/>
      <c r="Q239" s="134">
        <f t="shared" si="12"/>
        <v>0</v>
      </c>
      <c r="R239" s="134"/>
      <c r="S239" s="134"/>
      <c r="T239" s="134"/>
      <c r="U239" s="181"/>
      <c r="V239" s="134"/>
      <c r="W239" s="134"/>
      <c r="X239" s="134"/>
      <c r="Y239" s="134"/>
      <c r="Z239" s="134"/>
      <c r="AA239" s="134"/>
      <c r="AB239" s="134"/>
      <c r="AC239" s="190"/>
    </row>
    <row r="240" spans="1:29" ht="36">
      <c r="A240" s="288">
        <v>40046834</v>
      </c>
      <c r="B240" s="136">
        <v>33</v>
      </c>
      <c r="C240" s="140" t="s">
        <v>24</v>
      </c>
      <c r="D240" s="123" t="s">
        <v>380</v>
      </c>
      <c r="E240" s="140" t="s">
        <v>566</v>
      </c>
      <c r="F240" s="251" t="s">
        <v>161</v>
      </c>
      <c r="G240" s="124" t="s">
        <v>567</v>
      </c>
      <c r="H240" s="251" t="s">
        <v>103</v>
      </c>
      <c r="I240" s="272" t="s">
        <v>310</v>
      </c>
      <c r="J240" s="117">
        <v>2022</v>
      </c>
      <c r="K240" s="117">
        <v>12627</v>
      </c>
      <c r="L240" s="172">
        <v>297699</v>
      </c>
      <c r="M240" s="274" t="s">
        <v>568</v>
      </c>
      <c r="N240" s="121" t="s">
        <v>161</v>
      </c>
      <c r="O240" s="170"/>
      <c r="P240" s="134"/>
      <c r="Q240" s="134">
        <f t="shared" si="12"/>
        <v>0</v>
      </c>
      <c r="R240" s="134"/>
      <c r="S240" s="134"/>
      <c r="T240" s="134"/>
      <c r="U240" s="181"/>
      <c r="V240" s="134"/>
      <c r="W240" s="134"/>
      <c r="X240" s="134"/>
      <c r="Y240" s="134"/>
      <c r="Z240" s="134"/>
      <c r="AA240" s="134"/>
      <c r="AB240" s="134"/>
      <c r="AC240" s="134"/>
    </row>
    <row r="241" spans="1:29" ht="48">
      <c r="A241" s="288">
        <v>40045723</v>
      </c>
      <c r="B241" s="136">
        <v>33</v>
      </c>
      <c r="C241" s="140" t="s">
        <v>24</v>
      </c>
      <c r="D241" s="123" t="s">
        <v>380</v>
      </c>
      <c r="E241" s="140" t="s">
        <v>569</v>
      </c>
      <c r="F241" s="251" t="s">
        <v>161</v>
      </c>
      <c r="G241" s="124" t="s">
        <v>570</v>
      </c>
      <c r="H241" s="251" t="s">
        <v>103</v>
      </c>
      <c r="I241" s="272" t="s">
        <v>310</v>
      </c>
      <c r="J241" s="117">
        <v>2022</v>
      </c>
      <c r="K241" s="117">
        <v>12627</v>
      </c>
      <c r="L241" s="172">
        <v>389620</v>
      </c>
      <c r="M241" s="118" t="s">
        <v>768</v>
      </c>
      <c r="N241" s="121" t="s">
        <v>161</v>
      </c>
      <c r="O241" s="170"/>
      <c r="P241" s="134"/>
      <c r="Q241" s="134">
        <f t="shared" si="12"/>
        <v>0</v>
      </c>
      <c r="R241" s="134"/>
      <c r="S241" s="134"/>
      <c r="T241" s="134"/>
      <c r="U241" s="181"/>
      <c r="V241" s="134"/>
      <c r="W241" s="134"/>
      <c r="X241" s="134"/>
      <c r="Y241" s="134"/>
      <c r="Z241" s="134"/>
      <c r="AA241" s="134"/>
      <c r="AB241" s="134"/>
      <c r="AC241" s="190"/>
    </row>
    <row r="242" spans="1:29" ht="36">
      <c r="A242" s="288">
        <v>40035761</v>
      </c>
      <c r="B242" s="136">
        <v>33</v>
      </c>
      <c r="C242" s="140" t="s">
        <v>24</v>
      </c>
      <c r="D242" s="123" t="s">
        <v>380</v>
      </c>
      <c r="E242" s="140" t="s">
        <v>571</v>
      </c>
      <c r="F242" s="251" t="s">
        <v>161</v>
      </c>
      <c r="G242" s="124" t="s">
        <v>572</v>
      </c>
      <c r="H242" s="251" t="s">
        <v>103</v>
      </c>
      <c r="I242" s="272" t="s">
        <v>310</v>
      </c>
      <c r="J242" s="117">
        <v>2022</v>
      </c>
      <c r="K242" s="117">
        <v>12627</v>
      </c>
      <c r="L242" s="172">
        <v>439077</v>
      </c>
      <c r="M242" s="118" t="s">
        <v>768</v>
      </c>
      <c r="N242" s="121" t="s">
        <v>161</v>
      </c>
      <c r="O242" s="170"/>
      <c r="P242" s="134"/>
      <c r="Q242" s="134">
        <f t="shared" si="12"/>
        <v>0</v>
      </c>
      <c r="R242" s="134"/>
      <c r="S242" s="134"/>
      <c r="T242" s="134"/>
      <c r="U242" s="181"/>
      <c r="V242" s="134"/>
      <c r="W242" s="134"/>
      <c r="X242" s="134"/>
      <c r="Y242" s="134"/>
      <c r="Z242" s="134"/>
      <c r="AA242" s="134"/>
      <c r="AB242" s="134"/>
      <c r="AC242" s="190"/>
    </row>
    <row r="243" spans="1:29" ht="36">
      <c r="A243" s="288">
        <v>40035747</v>
      </c>
      <c r="B243" s="136">
        <v>33</v>
      </c>
      <c r="C243" s="140" t="s">
        <v>24</v>
      </c>
      <c r="D243" s="123" t="s">
        <v>380</v>
      </c>
      <c r="E243" s="140" t="s">
        <v>573</v>
      </c>
      <c r="F243" s="251" t="s">
        <v>161</v>
      </c>
      <c r="G243" s="124" t="s">
        <v>574</v>
      </c>
      <c r="H243" s="251" t="s">
        <v>103</v>
      </c>
      <c r="I243" s="272" t="s">
        <v>310</v>
      </c>
      <c r="J243" s="117">
        <v>2022</v>
      </c>
      <c r="K243" s="117">
        <v>12627</v>
      </c>
      <c r="L243" s="172">
        <v>467944</v>
      </c>
      <c r="M243" s="118" t="s">
        <v>768</v>
      </c>
      <c r="N243" s="121" t="s">
        <v>161</v>
      </c>
      <c r="O243" s="170"/>
      <c r="P243" s="134"/>
      <c r="Q243" s="134">
        <f t="shared" si="12"/>
        <v>0</v>
      </c>
      <c r="R243" s="134"/>
      <c r="S243" s="134"/>
      <c r="T243" s="134"/>
      <c r="U243" s="181"/>
      <c r="V243" s="134"/>
      <c r="W243" s="134"/>
      <c r="X243" s="134"/>
      <c r="Y243" s="134"/>
      <c r="Z243" s="134"/>
      <c r="AA243" s="134"/>
      <c r="AB243" s="134"/>
      <c r="AC243" s="190"/>
    </row>
    <row r="244" spans="1:29" ht="48">
      <c r="A244" s="288">
        <v>40026000</v>
      </c>
      <c r="B244" s="136">
        <v>33</v>
      </c>
      <c r="C244" s="140" t="s">
        <v>24</v>
      </c>
      <c r="D244" s="123" t="s">
        <v>380</v>
      </c>
      <c r="E244" s="140" t="s">
        <v>575</v>
      </c>
      <c r="F244" s="251" t="s">
        <v>161</v>
      </c>
      <c r="G244" s="124" t="s">
        <v>576</v>
      </c>
      <c r="H244" s="251" t="s">
        <v>103</v>
      </c>
      <c r="I244" s="272" t="s">
        <v>189</v>
      </c>
      <c r="J244" s="117">
        <v>2021</v>
      </c>
      <c r="K244" s="117">
        <v>11215</v>
      </c>
      <c r="L244" s="172">
        <v>83610</v>
      </c>
      <c r="M244" s="173" t="s">
        <v>577</v>
      </c>
      <c r="N244" s="121" t="s">
        <v>161</v>
      </c>
      <c r="O244" s="170"/>
      <c r="P244" s="134"/>
      <c r="Q244" s="134">
        <f t="shared" si="12"/>
        <v>0</v>
      </c>
      <c r="R244" s="134"/>
      <c r="S244" s="134"/>
      <c r="T244" s="134"/>
      <c r="U244" s="181"/>
      <c r="V244" s="134"/>
      <c r="W244" s="134"/>
      <c r="X244" s="134"/>
      <c r="Y244" s="134"/>
      <c r="Z244" s="134"/>
      <c r="AA244" s="134"/>
      <c r="AB244" s="134"/>
      <c r="AC244" s="134"/>
    </row>
    <row r="245" spans="1:29" ht="48">
      <c r="A245" s="288">
        <v>40046282</v>
      </c>
      <c r="B245" s="136">
        <v>33</v>
      </c>
      <c r="C245" s="140" t="s">
        <v>24</v>
      </c>
      <c r="D245" s="123" t="s">
        <v>380</v>
      </c>
      <c r="E245" s="140" t="s">
        <v>578</v>
      </c>
      <c r="F245" s="251" t="s">
        <v>161</v>
      </c>
      <c r="G245" s="124" t="s">
        <v>579</v>
      </c>
      <c r="H245" s="251" t="s">
        <v>103</v>
      </c>
      <c r="I245" s="272" t="s">
        <v>163</v>
      </c>
      <c r="J245" s="117">
        <v>2022</v>
      </c>
      <c r="K245" s="117">
        <v>12661</v>
      </c>
      <c r="L245" s="172">
        <v>410800</v>
      </c>
      <c r="M245" s="124" t="s">
        <v>580</v>
      </c>
      <c r="N245" s="121" t="s">
        <v>161</v>
      </c>
      <c r="O245" s="170"/>
      <c r="P245" s="134"/>
      <c r="Q245" s="134">
        <f t="shared" si="12"/>
        <v>0</v>
      </c>
      <c r="R245" s="134"/>
      <c r="S245" s="134"/>
      <c r="T245" s="134"/>
      <c r="U245" s="181"/>
      <c r="V245" s="134"/>
      <c r="W245" s="134"/>
      <c r="X245" s="134"/>
      <c r="Y245" s="134"/>
      <c r="Z245" s="134"/>
      <c r="AA245" s="134"/>
      <c r="AB245" s="134"/>
      <c r="AC245" s="134"/>
    </row>
    <row r="246" spans="1:29" ht="36">
      <c r="A246" s="288">
        <v>40046143</v>
      </c>
      <c r="B246" s="136">
        <v>33</v>
      </c>
      <c r="C246" s="140" t="s">
        <v>24</v>
      </c>
      <c r="D246" s="123" t="s">
        <v>380</v>
      </c>
      <c r="E246" s="140" t="s">
        <v>581</v>
      </c>
      <c r="F246" s="251" t="s">
        <v>161</v>
      </c>
      <c r="G246" s="124" t="s">
        <v>582</v>
      </c>
      <c r="H246" s="251" t="s">
        <v>103</v>
      </c>
      <c r="I246" s="272" t="s">
        <v>163</v>
      </c>
      <c r="J246" s="117">
        <v>2022</v>
      </c>
      <c r="K246" s="117">
        <v>12660</v>
      </c>
      <c r="L246" s="172">
        <v>240800</v>
      </c>
      <c r="M246" s="124" t="s">
        <v>583</v>
      </c>
      <c r="N246" s="121" t="s">
        <v>161</v>
      </c>
      <c r="O246" s="170"/>
      <c r="P246" s="134"/>
      <c r="Q246" s="134">
        <f t="shared" si="12"/>
        <v>0</v>
      </c>
      <c r="R246" s="134"/>
      <c r="S246" s="134"/>
      <c r="T246" s="134"/>
      <c r="U246" s="181"/>
      <c r="V246" s="134"/>
      <c r="W246" s="134"/>
      <c r="X246" s="134"/>
      <c r="Y246" s="134"/>
      <c r="Z246" s="134"/>
      <c r="AA246" s="134"/>
      <c r="AB246" s="134"/>
      <c r="AC246" s="134"/>
    </row>
    <row r="247" spans="1:29" ht="48">
      <c r="A247" s="288">
        <v>40046976</v>
      </c>
      <c r="B247" s="136">
        <v>33</v>
      </c>
      <c r="C247" s="140" t="s">
        <v>24</v>
      </c>
      <c r="D247" s="123" t="s">
        <v>380</v>
      </c>
      <c r="E247" s="140" t="s">
        <v>584</v>
      </c>
      <c r="F247" s="251" t="s">
        <v>161</v>
      </c>
      <c r="G247" s="124" t="s">
        <v>585</v>
      </c>
      <c r="H247" s="251" t="s">
        <v>103</v>
      </c>
      <c r="I247" s="272" t="s">
        <v>414</v>
      </c>
      <c r="J247" s="117">
        <v>2022</v>
      </c>
      <c r="K247" s="117">
        <v>12672</v>
      </c>
      <c r="L247" s="172">
        <v>140576</v>
      </c>
      <c r="M247" s="274" t="s">
        <v>586</v>
      </c>
      <c r="N247" s="121" t="s">
        <v>161</v>
      </c>
      <c r="O247" s="170"/>
      <c r="P247" s="134"/>
      <c r="Q247" s="134">
        <f t="shared" si="12"/>
        <v>0</v>
      </c>
      <c r="R247" s="134"/>
      <c r="S247" s="134"/>
      <c r="T247" s="134"/>
      <c r="U247" s="181"/>
      <c r="V247" s="134"/>
      <c r="W247" s="134"/>
      <c r="X247" s="134"/>
      <c r="Y247" s="134"/>
      <c r="Z247" s="134"/>
      <c r="AA247" s="134"/>
      <c r="AB247" s="134"/>
      <c r="AC247" s="134"/>
    </row>
    <row r="248" spans="1:29" ht="36">
      <c r="A248" s="288">
        <v>40029863</v>
      </c>
      <c r="B248" s="136">
        <v>31</v>
      </c>
      <c r="C248" s="140" t="s">
        <v>29</v>
      </c>
      <c r="D248" s="123"/>
      <c r="E248" s="140"/>
      <c r="F248" s="251" t="s">
        <v>161</v>
      </c>
      <c r="G248" s="124" t="s">
        <v>587</v>
      </c>
      <c r="H248" s="251" t="s">
        <v>94</v>
      </c>
      <c r="I248" s="118" t="s">
        <v>168</v>
      </c>
      <c r="J248" s="117">
        <v>2022</v>
      </c>
      <c r="K248" s="117">
        <v>12067</v>
      </c>
      <c r="L248" s="172">
        <v>1770910</v>
      </c>
      <c r="M248" s="173" t="s">
        <v>256</v>
      </c>
      <c r="N248" s="121" t="s">
        <v>366</v>
      </c>
      <c r="O248" s="170">
        <v>1000</v>
      </c>
      <c r="P248" s="134">
        <v>0</v>
      </c>
      <c r="Q248" s="134">
        <f>SUM(R248:AC248)</f>
        <v>0</v>
      </c>
      <c r="R248" s="134"/>
      <c r="S248" s="134"/>
      <c r="T248" s="134"/>
      <c r="U248" s="181"/>
      <c r="V248" s="134"/>
      <c r="W248" s="134"/>
      <c r="X248" s="134"/>
      <c r="Y248" s="134"/>
      <c r="Z248" s="134"/>
      <c r="AA248" s="134"/>
      <c r="AB248" s="134"/>
      <c r="AC248" s="134"/>
    </row>
    <row r="249" spans="1:29" ht="36">
      <c r="A249" s="123" t="s">
        <v>242</v>
      </c>
      <c r="B249" s="117">
        <v>33</v>
      </c>
      <c r="C249" s="119" t="s">
        <v>26</v>
      </c>
      <c r="D249" s="123" t="s">
        <v>312</v>
      </c>
      <c r="E249" s="119" t="s">
        <v>588</v>
      </c>
      <c r="F249" s="118"/>
      <c r="G249" s="272" t="s">
        <v>589</v>
      </c>
      <c r="H249" s="251" t="s">
        <v>245</v>
      </c>
      <c r="I249" s="124" t="s">
        <v>163</v>
      </c>
      <c r="J249" s="117" t="s">
        <v>245</v>
      </c>
      <c r="K249" s="117" t="s">
        <v>245</v>
      </c>
      <c r="L249" s="136" t="s">
        <v>245</v>
      </c>
      <c r="M249" s="281" t="s">
        <v>324</v>
      </c>
      <c r="N249" s="121" t="s">
        <v>245</v>
      </c>
      <c r="O249" s="170">
        <v>9346504</v>
      </c>
      <c r="P249" s="134"/>
      <c r="Q249" s="134">
        <f t="shared" si="12"/>
        <v>0</v>
      </c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</row>
    <row r="250" spans="1:29" ht="36">
      <c r="A250" s="289">
        <v>40047932</v>
      </c>
      <c r="B250" s="123">
        <v>29</v>
      </c>
      <c r="C250" s="119" t="s">
        <v>26</v>
      </c>
      <c r="D250" s="123"/>
      <c r="E250" s="117"/>
      <c r="F250" s="118" t="s">
        <v>161</v>
      </c>
      <c r="G250" s="272" t="s">
        <v>590</v>
      </c>
      <c r="H250" s="251" t="s">
        <v>91</v>
      </c>
      <c r="I250" s="118" t="s">
        <v>247</v>
      </c>
      <c r="J250" s="117">
        <v>2023</v>
      </c>
      <c r="K250" s="117">
        <v>13481</v>
      </c>
      <c r="L250" s="172">
        <v>801300</v>
      </c>
      <c r="M250" s="281" t="s">
        <v>753</v>
      </c>
      <c r="N250" s="121" t="s">
        <v>591</v>
      </c>
      <c r="O250" s="170">
        <v>44207</v>
      </c>
      <c r="P250" s="170">
        <v>387104</v>
      </c>
      <c r="Q250" s="134">
        <f t="shared" si="12"/>
        <v>0</v>
      </c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</row>
    <row r="251" spans="1:29" ht="36">
      <c r="A251" s="289">
        <v>40057058</v>
      </c>
      <c r="B251" s="123">
        <v>29</v>
      </c>
      <c r="C251" s="119" t="s">
        <v>26</v>
      </c>
      <c r="D251" s="123"/>
      <c r="E251" s="117"/>
      <c r="F251" s="118" t="s">
        <v>161</v>
      </c>
      <c r="G251" s="272" t="s">
        <v>592</v>
      </c>
      <c r="H251" s="251" t="s">
        <v>100</v>
      </c>
      <c r="I251" s="118" t="s">
        <v>189</v>
      </c>
      <c r="J251" s="117">
        <v>2023</v>
      </c>
      <c r="K251" s="117">
        <v>13481</v>
      </c>
      <c r="L251" s="172">
        <v>915837</v>
      </c>
      <c r="M251" s="281" t="s">
        <v>753</v>
      </c>
      <c r="N251" s="121" t="s">
        <v>591</v>
      </c>
      <c r="O251" s="170">
        <v>34871</v>
      </c>
      <c r="P251" s="170">
        <v>442435</v>
      </c>
      <c r="Q251" s="134">
        <f t="shared" si="12"/>
        <v>0</v>
      </c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</row>
    <row r="252" spans="1:29" ht="48">
      <c r="A252" s="289">
        <v>40056980</v>
      </c>
      <c r="B252" s="123">
        <v>29</v>
      </c>
      <c r="C252" s="119" t="s">
        <v>26</v>
      </c>
      <c r="D252" s="123"/>
      <c r="E252" s="117"/>
      <c r="F252" s="118" t="s">
        <v>161</v>
      </c>
      <c r="G252" s="272" t="s">
        <v>593</v>
      </c>
      <c r="H252" s="118" t="s">
        <v>83</v>
      </c>
      <c r="I252" s="118" t="s">
        <v>163</v>
      </c>
      <c r="J252" s="117">
        <v>2023</v>
      </c>
      <c r="K252" s="117">
        <v>13598</v>
      </c>
      <c r="L252" s="172">
        <v>649842</v>
      </c>
      <c r="M252" s="281" t="s">
        <v>324</v>
      </c>
      <c r="N252" s="121" t="s">
        <v>354</v>
      </c>
      <c r="O252" s="170">
        <v>29842</v>
      </c>
      <c r="P252" s="170">
        <v>25000</v>
      </c>
      <c r="Q252" s="134">
        <f t="shared" si="12"/>
        <v>0</v>
      </c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</row>
    <row r="253" spans="1:29" ht="24">
      <c r="A253" s="289">
        <v>40023024</v>
      </c>
      <c r="B253" s="123">
        <v>29</v>
      </c>
      <c r="C253" s="119" t="s">
        <v>26</v>
      </c>
      <c r="D253" s="123"/>
      <c r="E253" s="117"/>
      <c r="F253" s="118" t="s">
        <v>161</v>
      </c>
      <c r="G253" s="272" t="s">
        <v>594</v>
      </c>
      <c r="H253" s="251" t="s">
        <v>90</v>
      </c>
      <c r="I253" s="118" t="s">
        <v>163</v>
      </c>
      <c r="J253" s="117">
        <v>2023</v>
      </c>
      <c r="K253" s="117">
        <v>13481</v>
      </c>
      <c r="L253" s="172">
        <v>167442</v>
      </c>
      <c r="M253" s="281" t="s">
        <v>753</v>
      </c>
      <c r="N253" s="121" t="s">
        <v>591</v>
      </c>
      <c r="O253" s="170">
        <v>161781</v>
      </c>
      <c r="P253" s="170">
        <v>16744</v>
      </c>
      <c r="Q253" s="134">
        <f t="shared" si="12"/>
        <v>0</v>
      </c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</row>
    <row r="254" spans="1:29" ht="24">
      <c r="A254" s="332">
        <v>40066214</v>
      </c>
      <c r="B254" s="123">
        <v>33</v>
      </c>
      <c r="C254" s="119" t="s">
        <v>26</v>
      </c>
      <c r="D254" s="123"/>
      <c r="E254" s="117"/>
      <c r="F254" s="118" t="s">
        <v>161</v>
      </c>
      <c r="G254" s="285" t="s">
        <v>595</v>
      </c>
      <c r="H254" s="251" t="s">
        <v>91</v>
      </c>
      <c r="I254" s="118"/>
      <c r="J254" s="117">
        <v>2023</v>
      </c>
      <c r="K254" s="117">
        <v>13595</v>
      </c>
      <c r="L254" s="172">
        <v>410793</v>
      </c>
      <c r="M254" s="281"/>
      <c r="N254" s="121" t="s">
        <v>325</v>
      </c>
      <c r="O254" s="134">
        <v>0</v>
      </c>
      <c r="P254" s="134">
        <v>0</v>
      </c>
      <c r="Q254" s="134">
        <f t="shared" si="12"/>
        <v>0</v>
      </c>
      <c r="R254" s="134"/>
      <c r="S254" s="134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</row>
    <row r="255" spans="1:29" ht="36">
      <c r="A255" s="332">
        <v>40066212</v>
      </c>
      <c r="B255" s="123">
        <v>33</v>
      </c>
      <c r="C255" s="119" t="s">
        <v>26</v>
      </c>
      <c r="D255" s="123"/>
      <c r="E255" s="117"/>
      <c r="F255" s="118" t="s">
        <v>161</v>
      </c>
      <c r="G255" s="285" t="s">
        <v>596</v>
      </c>
      <c r="H255" s="251" t="s">
        <v>99</v>
      </c>
      <c r="I255" s="118" t="s">
        <v>319</v>
      </c>
      <c r="J255" s="117">
        <v>2023</v>
      </c>
      <c r="K255" s="117">
        <v>13595</v>
      </c>
      <c r="L255" s="172">
        <v>902098</v>
      </c>
      <c r="M255" s="281" t="s">
        <v>666</v>
      </c>
      <c r="N255" s="121" t="s">
        <v>325</v>
      </c>
      <c r="O255" s="134">
        <v>0</v>
      </c>
      <c r="P255" s="134">
        <v>0</v>
      </c>
      <c r="Q255" s="134">
        <f t="shared" si="12"/>
        <v>0</v>
      </c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</row>
    <row r="256" spans="1:29" ht="36">
      <c r="A256" s="289">
        <v>40046841</v>
      </c>
      <c r="B256" s="123">
        <v>29</v>
      </c>
      <c r="C256" s="119" t="s">
        <v>26</v>
      </c>
      <c r="D256" s="123"/>
      <c r="E256" s="117"/>
      <c r="F256" s="118" t="s">
        <v>161</v>
      </c>
      <c r="G256" s="272" t="s">
        <v>597</v>
      </c>
      <c r="H256" s="251" t="s">
        <v>84</v>
      </c>
      <c r="I256" s="118" t="s">
        <v>173</v>
      </c>
      <c r="J256" s="117">
        <v>2023</v>
      </c>
      <c r="K256" s="117">
        <v>13395</v>
      </c>
      <c r="L256" s="172">
        <v>340000</v>
      </c>
      <c r="M256" s="281" t="s">
        <v>199</v>
      </c>
      <c r="N256" s="121" t="s">
        <v>178</v>
      </c>
      <c r="O256" s="170">
        <v>20000</v>
      </c>
      <c r="P256" s="170"/>
      <c r="Q256" s="134">
        <f t="shared" si="12"/>
        <v>0</v>
      </c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</row>
    <row r="257" spans="1:29" ht="36">
      <c r="A257" s="289">
        <v>40055891</v>
      </c>
      <c r="B257" s="123">
        <v>29</v>
      </c>
      <c r="C257" s="119" t="s">
        <v>26</v>
      </c>
      <c r="D257" s="123"/>
      <c r="E257" s="117"/>
      <c r="F257" s="118" t="s">
        <v>161</v>
      </c>
      <c r="G257" s="272" t="s">
        <v>598</v>
      </c>
      <c r="H257" s="251" t="s">
        <v>90</v>
      </c>
      <c r="I257" s="118" t="s">
        <v>173</v>
      </c>
      <c r="J257" s="117">
        <v>2023</v>
      </c>
      <c r="K257" s="117">
        <v>13396</v>
      </c>
      <c r="L257" s="172">
        <v>287433</v>
      </c>
      <c r="M257" s="281" t="s">
        <v>199</v>
      </c>
      <c r="N257" s="121" t="s">
        <v>178</v>
      </c>
      <c r="O257" s="170">
        <v>117261</v>
      </c>
      <c r="P257" s="170">
        <v>138857</v>
      </c>
      <c r="Q257" s="134">
        <f t="shared" si="12"/>
        <v>0</v>
      </c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</row>
    <row r="258" spans="1:29" ht="84">
      <c r="A258" s="289">
        <v>40056506</v>
      </c>
      <c r="B258" s="123">
        <v>29</v>
      </c>
      <c r="C258" s="119" t="s">
        <v>26</v>
      </c>
      <c r="D258" s="123"/>
      <c r="E258" s="117"/>
      <c r="F258" s="118" t="s">
        <v>161</v>
      </c>
      <c r="G258" s="124" t="s">
        <v>599</v>
      </c>
      <c r="H258" s="251" t="s">
        <v>103</v>
      </c>
      <c r="I258" s="118" t="s">
        <v>176</v>
      </c>
      <c r="J258" s="117">
        <v>2023</v>
      </c>
      <c r="K258" s="117">
        <v>13481</v>
      </c>
      <c r="L258" s="172">
        <v>215585</v>
      </c>
      <c r="M258" s="281" t="s">
        <v>600</v>
      </c>
      <c r="N258" s="121" t="s">
        <v>192</v>
      </c>
      <c r="O258" s="170">
        <v>215585</v>
      </c>
      <c r="P258" s="170">
        <v>1000</v>
      </c>
      <c r="Q258" s="134">
        <f t="shared" si="12"/>
        <v>90000</v>
      </c>
      <c r="R258" s="134"/>
      <c r="S258" s="134"/>
      <c r="T258" s="134"/>
      <c r="U258" s="134"/>
      <c r="V258" s="134"/>
      <c r="W258" s="134">
        <v>90000</v>
      </c>
      <c r="X258" s="134"/>
      <c r="Y258" s="134"/>
      <c r="Z258" s="134"/>
      <c r="AA258" s="134"/>
      <c r="AB258" s="134"/>
      <c r="AC258" s="134"/>
    </row>
    <row r="259" spans="1:29" ht="36">
      <c r="A259" s="289">
        <v>40047727</v>
      </c>
      <c r="B259" s="123">
        <v>29</v>
      </c>
      <c r="C259" s="119" t="s">
        <v>26</v>
      </c>
      <c r="D259" s="123"/>
      <c r="E259" s="117"/>
      <c r="F259" s="118" t="s">
        <v>161</v>
      </c>
      <c r="G259" s="272" t="s">
        <v>601</v>
      </c>
      <c r="H259" s="251" t="s">
        <v>103</v>
      </c>
      <c r="I259" s="118" t="s">
        <v>176</v>
      </c>
      <c r="J259" s="117">
        <v>2023</v>
      </c>
      <c r="K259" s="117">
        <v>13530</v>
      </c>
      <c r="L259" s="172">
        <v>9313409</v>
      </c>
      <c r="M259" s="281" t="s">
        <v>489</v>
      </c>
      <c r="N259" s="121" t="s">
        <v>178</v>
      </c>
      <c r="O259" s="170"/>
      <c r="P259" s="170"/>
      <c r="Q259" s="134">
        <f t="shared" si="12"/>
        <v>0</v>
      </c>
      <c r="R259" s="134"/>
      <c r="S259" s="134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</row>
    <row r="260" spans="1:29" ht="24">
      <c r="A260" s="289">
        <v>40054166</v>
      </c>
      <c r="B260" s="123">
        <v>29</v>
      </c>
      <c r="C260" s="119" t="s">
        <v>26</v>
      </c>
      <c r="D260" s="123"/>
      <c r="E260" s="117"/>
      <c r="F260" s="118" t="s">
        <v>161</v>
      </c>
      <c r="G260" s="272" t="s">
        <v>602</v>
      </c>
      <c r="H260" s="251" t="s">
        <v>90</v>
      </c>
      <c r="I260" s="118" t="s">
        <v>163</v>
      </c>
      <c r="J260" s="117">
        <v>2023</v>
      </c>
      <c r="K260" s="117">
        <v>13481</v>
      </c>
      <c r="L260" s="172">
        <v>582262</v>
      </c>
      <c r="M260" s="281" t="s">
        <v>324</v>
      </c>
      <c r="N260" s="121" t="s">
        <v>354</v>
      </c>
      <c r="O260" s="170">
        <v>12520</v>
      </c>
      <c r="P260" s="170">
        <v>58226</v>
      </c>
      <c r="Q260" s="134">
        <f t="shared" si="12"/>
        <v>0</v>
      </c>
      <c r="R260" s="134"/>
      <c r="S260" s="134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</row>
    <row r="261" spans="1:29" ht="48">
      <c r="A261" s="289">
        <v>40052203</v>
      </c>
      <c r="B261" s="123">
        <v>29</v>
      </c>
      <c r="C261" s="119" t="s">
        <v>26</v>
      </c>
      <c r="D261" s="123"/>
      <c r="E261" s="117"/>
      <c r="F261" s="118" t="s">
        <v>161</v>
      </c>
      <c r="G261" s="272" t="s">
        <v>603</v>
      </c>
      <c r="H261" s="251" t="s">
        <v>103</v>
      </c>
      <c r="I261" s="118" t="s">
        <v>171</v>
      </c>
      <c r="J261" s="117">
        <v>2023</v>
      </c>
      <c r="K261" s="117">
        <v>13481</v>
      </c>
      <c r="L261" s="172">
        <v>250468</v>
      </c>
      <c r="M261" s="281" t="s">
        <v>690</v>
      </c>
      <c r="N261" s="121" t="s">
        <v>287</v>
      </c>
      <c r="O261" s="170">
        <v>22000</v>
      </c>
      <c r="P261" s="170">
        <v>121000</v>
      </c>
      <c r="Q261" s="134">
        <f t="shared" si="12"/>
        <v>0</v>
      </c>
      <c r="R261" s="134"/>
      <c r="S261" s="134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</row>
    <row r="262" spans="1:29" ht="48">
      <c r="A262" s="289">
        <v>40055994</v>
      </c>
      <c r="B262" s="123">
        <v>33</v>
      </c>
      <c r="C262" s="119" t="s">
        <v>26</v>
      </c>
      <c r="D262" s="123"/>
      <c r="E262" s="117"/>
      <c r="F262" s="118" t="s">
        <v>161</v>
      </c>
      <c r="G262" s="272" t="s">
        <v>604</v>
      </c>
      <c r="H262" s="251" t="s">
        <v>90</v>
      </c>
      <c r="I262" s="118" t="s">
        <v>163</v>
      </c>
      <c r="J262" s="117">
        <v>2023</v>
      </c>
      <c r="K262" s="117">
        <v>13425</v>
      </c>
      <c r="L262" s="172">
        <v>110056</v>
      </c>
      <c r="M262" s="281" t="s">
        <v>195</v>
      </c>
      <c r="N262" s="121" t="s">
        <v>161</v>
      </c>
      <c r="O262" s="170"/>
      <c r="P262" s="134"/>
      <c r="Q262" s="134">
        <f t="shared" si="12"/>
        <v>0</v>
      </c>
      <c r="R262" s="134"/>
      <c r="S262" s="134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</row>
    <row r="263" spans="1:29" ht="48">
      <c r="A263" s="289">
        <v>40055934</v>
      </c>
      <c r="B263" s="123">
        <v>33</v>
      </c>
      <c r="C263" s="119" t="s">
        <v>26</v>
      </c>
      <c r="D263" s="123"/>
      <c r="E263" s="117"/>
      <c r="F263" s="118" t="s">
        <v>161</v>
      </c>
      <c r="G263" s="272" t="s">
        <v>605</v>
      </c>
      <c r="H263" s="251" t="s">
        <v>86</v>
      </c>
      <c r="I263" s="118" t="s">
        <v>163</v>
      </c>
      <c r="J263" s="117">
        <v>2023</v>
      </c>
      <c r="K263" s="117">
        <v>13425</v>
      </c>
      <c r="L263" s="172">
        <v>110019</v>
      </c>
      <c r="M263" s="281" t="s">
        <v>229</v>
      </c>
      <c r="N263" s="121" t="s">
        <v>161</v>
      </c>
      <c r="O263" s="170"/>
      <c r="P263" s="134"/>
      <c r="Q263" s="134">
        <f t="shared" si="12"/>
        <v>0</v>
      </c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</row>
    <row r="264" spans="1:29" ht="48">
      <c r="A264" s="289">
        <v>40055971</v>
      </c>
      <c r="B264" s="123">
        <v>33</v>
      </c>
      <c r="C264" s="119" t="s">
        <v>26</v>
      </c>
      <c r="D264" s="123"/>
      <c r="E264" s="117"/>
      <c r="F264" s="118" t="s">
        <v>161</v>
      </c>
      <c r="G264" s="272" t="s">
        <v>606</v>
      </c>
      <c r="H264" s="118" t="s">
        <v>85</v>
      </c>
      <c r="I264" s="118" t="s">
        <v>163</v>
      </c>
      <c r="J264" s="117">
        <v>2023</v>
      </c>
      <c r="K264" s="117">
        <v>13425</v>
      </c>
      <c r="L264" s="172">
        <v>110057</v>
      </c>
      <c r="M264" s="281" t="s">
        <v>279</v>
      </c>
      <c r="N264" s="121" t="s">
        <v>161</v>
      </c>
      <c r="O264" s="170"/>
      <c r="P264" s="134"/>
      <c r="Q264" s="134">
        <f t="shared" si="12"/>
        <v>0</v>
      </c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</row>
    <row r="265" spans="1:29" ht="48">
      <c r="A265" s="289">
        <v>40056663</v>
      </c>
      <c r="B265" s="123">
        <v>33</v>
      </c>
      <c r="C265" s="119" t="s">
        <v>26</v>
      </c>
      <c r="D265" s="123"/>
      <c r="E265" s="117"/>
      <c r="F265" s="118" t="s">
        <v>161</v>
      </c>
      <c r="G265" s="272" t="s">
        <v>607</v>
      </c>
      <c r="H265" s="251" t="s">
        <v>98</v>
      </c>
      <c r="I265" s="118" t="s">
        <v>163</v>
      </c>
      <c r="J265" s="117">
        <v>2023</v>
      </c>
      <c r="K265" s="117">
        <v>13425</v>
      </c>
      <c r="L265" s="172">
        <v>109776</v>
      </c>
      <c r="M265" s="281" t="s">
        <v>177</v>
      </c>
      <c r="N265" s="121" t="s">
        <v>161</v>
      </c>
      <c r="O265" s="170"/>
      <c r="P265" s="134"/>
      <c r="Q265" s="134">
        <f t="shared" si="12"/>
        <v>0</v>
      </c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</row>
    <row r="266" spans="1:29" ht="48">
      <c r="A266" s="289">
        <v>40055995</v>
      </c>
      <c r="B266" s="123">
        <v>33</v>
      </c>
      <c r="C266" s="119" t="s">
        <v>26</v>
      </c>
      <c r="D266" s="123"/>
      <c r="E266" s="117"/>
      <c r="F266" s="118" t="s">
        <v>161</v>
      </c>
      <c r="G266" s="272" t="s">
        <v>608</v>
      </c>
      <c r="H266" s="251" t="s">
        <v>93</v>
      </c>
      <c r="I266" s="118" t="s">
        <v>163</v>
      </c>
      <c r="J266" s="117">
        <v>2023</v>
      </c>
      <c r="K266" s="117">
        <v>13425</v>
      </c>
      <c r="L266" s="172">
        <v>110057</v>
      </c>
      <c r="M266" s="285" t="s">
        <v>190</v>
      </c>
      <c r="N266" s="121" t="s">
        <v>161</v>
      </c>
      <c r="O266" s="170"/>
      <c r="P266" s="134"/>
      <c r="Q266" s="134">
        <f t="shared" si="12"/>
        <v>0</v>
      </c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</row>
    <row r="267" spans="1:29" ht="48">
      <c r="A267" s="289">
        <v>40055900</v>
      </c>
      <c r="B267" s="123">
        <v>33</v>
      </c>
      <c r="C267" s="119" t="s">
        <v>26</v>
      </c>
      <c r="D267" s="123"/>
      <c r="E267" s="117"/>
      <c r="F267" s="118" t="s">
        <v>161</v>
      </c>
      <c r="G267" s="272" t="s">
        <v>609</v>
      </c>
      <c r="H267" s="251" t="s">
        <v>94</v>
      </c>
      <c r="I267" s="118" t="s">
        <v>163</v>
      </c>
      <c r="J267" s="117">
        <v>2023</v>
      </c>
      <c r="K267" s="117">
        <v>13425</v>
      </c>
      <c r="L267" s="172">
        <v>110057</v>
      </c>
      <c r="M267" s="285" t="s">
        <v>256</v>
      </c>
      <c r="N267" s="121" t="s">
        <v>161</v>
      </c>
      <c r="O267" s="170"/>
      <c r="P267" s="134"/>
      <c r="Q267" s="134">
        <f t="shared" si="12"/>
        <v>0</v>
      </c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</row>
    <row r="268" spans="1:29" ht="48">
      <c r="A268" s="289">
        <v>40055918</v>
      </c>
      <c r="B268" s="123">
        <v>33</v>
      </c>
      <c r="C268" s="119" t="s">
        <v>26</v>
      </c>
      <c r="D268" s="123"/>
      <c r="E268" s="117"/>
      <c r="F268" s="118" t="s">
        <v>161</v>
      </c>
      <c r="G268" s="272" t="s">
        <v>610</v>
      </c>
      <c r="H268" s="251" t="s">
        <v>100</v>
      </c>
      <c r="I268" s="118" t="s">
        <v>163</v>
      </c>
      <c r="J268" s="117">
        <v>2023</v>
      </c>
      <c r="K268" s="117">
        <v>13425</v>
      </c>
      <c r="L268" s="172">
        <v>110057</v>
      </c>
      <c r="M268" s="285" t="s">
        <v>611</v>
      </c>
      <c r="N268" s="121" t="s">
        <v>161</v>
      </c>
      <c r="O268" s="170"/>
      <c r="P268" s="134"/>
      <c r="Q268" s="134">
        <f t="shared" si="12"/>
        <v>0</v>
      </c>
      <c r="R268" s="134"/>
      <c r="S268" s="134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</row>
    <row r="269" spans="1:29" ht="48">
      <c r="A269" s="289">
        <v>40055817</v>
      </c>
      <c r="B269" s="123">
        <v>33</v>
      </c>
      <c r="C269" s="119" t="s">
        <v>26</v>
      </c>
      <c r="D269" s="123"/>
      <c r="E269" s="117"/>
      <c r="F269" s="118" t="s">
        <v>161</v>
      </c>
      <c r="G269" s="272" t="s">
        <v>612</v>
      </c>
      <c r="H269" s="251" t="s">
        <v>87</v>
      </c>
      <c r="I269" s="118" t="s">
        <v>163</v>
      </c>
      <c r="J269" s="117">
        <v>2023</v>
      </c>
      <c r="K269" s="117">
        <v>13425</v>
      </c>
      <c r="L269" s="172">
        <v>110057</v>
      </c>
      <c r="M269" s="281" t="s">
        <v>253</v>
      </c>
      <c r="N269" s="121" t="s">
        <v>161</v>
      </c>
      <c r="O269" s="170"/>
      <c r="P269" s="134"/>
      <c r="Q269" s="134">
        <f t="shared" si="12"/>
        <v>0</v>
      </c>
      <c r="R269" s="134"/>
      <c r="S269" s="134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</row>
    <row r="270" spans="1:29" ht="48">
      <c r="A270" s="289">
        <v>40058519</v>
      </c>
      <c r="B270" s="123">
        <v>33</v>
      </c>
      <c r="C270" s="119" t="s">
        <v>26</v>
      </c>
      <c r="D270" s="123"/>
      <c r="E270" s="117"/>
      <c r="F270" s="118" t="s">
        <v>161</v>
      </c>
      <c r="G270" s="272" t="s">
        <v>613</v>
      </c>
      <c r="H270" s="251" t="s">
        <v>82</v>
      </c>
      <c r="I270" s="118" t="s">
        <v>163</v>
      </c>
      <c r="J270" s="117">
        <v>2023</v>
      </c>
      <c r="K270" s="117">
        <v>13594</v>
      </c>
      <c r="L270" s="172">
        <v>220165</v>
      </c>
      <c r="M270" s="285" t="s">
        <v>169</v>
      </c>
      <c r="N270" s="121" t="s">
        <v>161</v>
      </c>
      <c r="O270" s="170"/>
      <c r="P270" s="170"/>
      <c r="Q270" s="134">
        <f t="shared" si="12"/>
        <v>0</v>
      </c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</row>
    <row r="271" spans="1:29" ht="36">
      <c r="A271" s="289">
        <v>40058456</v>
      </c>
      <c r="B271" s="123">
        <v>33</v>
      </c>
      <c r="C271" s="119" t="s">
        <v>26</v>
      </c>
      <c r="D271" s="123"/>
      <c r="E271" s="117"/>
      <c r="F271" s="118" t="s">
        <v>161</v>
      </c>
      <c r="G271" s="272" t="s">
        <v>614</v>
      </c>
      <c r="H271" s="251" t="s">
        <v>97</v>
      </c>
      <c r="I271" s="118" t="s">
        <v>163</v>
      </c>
      <c r="J271" s="117">
        <v>2023</v>
      </c>
      <c r="K271" s="117">
        <v>13594</v>
      </c>
      <c r="L271" s="172">
        <v>284180</v>
      </c>
      <c r="M271" s="285" t="s">
        <v>210</v>
      </c>
      <c r="N271" s="121" t="s">
        <v>161</v>
      </c>
      <c r="O271" s="170"/>
      <c r="P271" s="134"/>
      <c r="Q271" s="134">
        <f t="shared" si="12"/>
        <v>0</v>
      </c>
      <c r="R271" s="134"/>
      <c r="S271" s="134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</row>
    <row r="272" spans="1:29" ht="48">
      <c r="A272" s="289">
        <v>40058528</v>
      </c>
      <c r="B272" s="123">
        <v>33</v>
      </c>
      <c r="C272" s="119" t="s">
        <v>26</v>
      </c>
      <c r="D272" s="123"/>
      <c r="E272" s="117"/>
      <c r="F272" s="118" t="s">
        <v>161</v>
      </c>
      <c r="G272" s="272" t="s">
        <v>615</v>
      </c>
      <c r="H272" s="251" t="s">
        <v>90</v>
      </c>
      <c r="I272" s="118" t="s">
        <v>163</v>
      </c>
      <c r="J272" s="117">
        <v>2023</v>
      </c>
      <c r="K272" s="117">
        <v>13594</v>
      </c>
      <c r="L272" s="172">
        <v>307830</v>
      </c>
      <c r="M272" s="285" t="s">
        <v>195</v>
      </c>
      <c r="N272" s="121" t="s">
        <v>161</v>
      </c>
      <c r="O272" s="170"/>
      <c r="P272" s="134"/>
      <c r="Q272" s="134">
        <f t="shared" si="12"/>
        <v>0</v>
      </c>
      <c r="R272" s="134"/>
      <c r="S272" s="134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</row>
    <row r="273" spans="1:29" ht="48">
      <c r="A273" s="289">
        <v>40058506</v>
      </c>
      <c r="B273" s="123">
        <v>33</v>
      </c>
      <c r="C273" s="119" t="s">
        <v>26</v>
      </c>
      <c r="D273" s="123"/>
      <c r="E273" s="117"/>
      <c r="F273" s="118" t="s">
        <v>161</v>
      </c>
      <c r="G273" s="272" t="s">
        <v>616</v>
      </c>
      <c r="H273" s="251" t="s">
        <v>84</v>
      </c>
      <c r="I273" s="118" t="s">
        <v>163</v>
      </c>
      <c r="J273" s="117">
        <v>2023</v>
      </c>
      <c r="K273" s="117">
        <v>13594</v>
      </c>
      <c r="L273" s="172">
        <v>248157</v>
      </c>
      <c r="M273" s="285" t="s">
        <v>184</v>
      </c>
      <c r="N273" s="121" t="s">
        <v>161</v>
      </c>
      <c r="O273" s="170"/>
      <c r="P273" s="170"/>
      <c r="Q273" s="134">
        <f t="shared" si="12"/>
        <v>0</v>
      </c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</row>
    <row r="274" spans="1:29" ht="36">
      <c r="A274" s="289">
        <v>40058588</v>
      </c>
      <c r="B274" s="123">
        <v>33</v>
      </c>
      <c r="C274" s="119" t="s">
        <v>26</v>
      </c>
      <c r="D274" s="123"/>
      <c r="E274" s="117"/>
      <c r="F274" s="118" t="s">
        <v>161</v>
      </c>
      <c r="G274" s="272" t="s">
        <v>617</v>
      </c>
      <c r="H274" s="251" t="s">
        <v>99</v>
      </c>
      <c r="I274" s="118" t="s">
        <v>219</v>
      </c>
      <c r="J274" s="117">
        <v>2023</v>
      </c>
      <c r="K274" s="117">
        <v>13594</v>
      </c>
      <c r="L274" s="172">
        <v>269829</v>
      </c>
      <c r="M274" s="285" t="s">
        <v>263</v>
      </c>
      <c r="N274" s="121" t="s">
        <v>161</v>
      </c>
      <c r="O274" s="170"/>
      <c r="P274" s="134"/>
      <c r="Q274" s="134">
        <f t="shared" si="12"/>
        <v>0</v>
      </c>
      <c r="R274" s="134"/>
      <c r="S274" s="134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</row>
    <row r="275" spans="1:29" ht="48">
      <c r="A275" s="289">
        <v>40058536</v>
      </c>
      <c r="B275" s="123">
        <v>33</v>
      </c>
      <c r="C275" s="119" t="s">
        <v>26</v>
      </c>
      <c r="D275" s="123"/>
      <c r="E275" s="117"/>
      <c r="F275" s="118" t="s">
        <v>161</v>
      </c>
      <c r="G275" s="272" t="s">
        <v>618</v>
      </c>
      <c r="H275" s="118" t="s">
        <v>85</v>
      </c>
      <c r="I275" s="118" t="s">
        <v>219</v>
      </c>
      <c r="J275" s="117">
        <v>2023</v>
      </c>
      <c r="K275" s="117">
        <v>13594</v>
      </c>
      <c r="L275" s="172">
        <v>253295</v>
      </c>
      <c r="M275" s="285" t="s">
        <v>279</v>
      </c>
      <c r="N275" s="121" t="s">
        <v>161</v>
      </c>
      <c r="O275" s="170"/>
      <c r="P275" s="170"/>
      <c r="Q275" s="134">
        <f t="shared" ref="Q275:Q335" si="13">SUM(R275:AC275)</f>
        <v>0</v>
      </c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</row>
    <row r="276" spans="1:29" ht="48">
      <c r="A276" s="289">
        <v>40058477</v>
      </c>
      <c r="B276" s="123">
        <v>33</v>
      </c>
      <c r="C276" s="119" t="s">
        <v>26</v>
      </c>
      <c r="D276" s="123"/>
      <c r="E276" s="117"/>
      <c r="F276" s="118" t="s">
        <v>161</v>
      </c>
      <c r="G276" s="272" t="s">
        <v>619</v>
      </c>
      <c r="H276" s="118" t="s">
        <v>83</v>
      </c>
      <c r="I276" s="118" t="s">
        <v>163</v>
      </c>
      <c r="J276" s="117">
        <v>2023</v>
      </c>
      <c r="K276" s="117">
        <v>13594</v>
      </c>
      <c r="L276" s="172">
        <v>242932</v>
      </c>
      <c r="M276" s="285" t="s">
        <v>174</v>
      </c>
      <c r="N276" s="121" t="s">
        <v>161</v>
      </c>
      <c r="O276" s="170"/>
      <c r="P276" s="170"/>
      <c r="Q276" s="134">
        <f t="shared" si="13"/>
        <v>0</v>
      </c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</row>
    <row r="277" spans="1:29" ht="48">
      <c r="A277" s="289">
        <v>40058586</v>
      </c>
      <c r="B277" s="123">
        <v>33</v>
      </c>
      <c r="C277" s="119" t="s">
        <v>26</v>
      </c>
      <c r="D277" s="123"/>
      <c r="E277" s="117"/>
      <c r="F277" s="118" t="s">
        <v>161</v>
      </c>
      <c r="G277" s="272" t="s">
        <v>620</v>
      </c>
      <c r="H277" s="251" t="s">
        <v>98</v>
      </c>
      <c r="I277" s="118" t="s">
        <v>163</v>
      </c>
      <c r="J277" s="117">
        <v>2023</v>
      </c>
      <c r="K277" s="117">
        <v>13594</v>
      </c>
      <c r="L277" s="172">
        <v>248195</v>
      </c>
      <c r="M277" s="285" t="s">
        <v>177</v>
      </c>
      <c r="N277" s="121" t="s">
        <v>161</v>
      </c>
      <c r="O277" s="170"/>
      <c r="P277" s="134"/>
      <c r="Q277" s="134">
        <f t="shared" si="13"/>
        <v>0</v>
      </c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</row>
    <row r="278" spans="1:29" ht="48">
      <c r="A278" s="289">
        <v>40058516</v>
      </c>
      <c r="B278" s="123">
        <v>33</v>
      </c>
      <c r="C278" s="119" t="s">
        <v>26</v>
      </c>
      <c r="D278" s="123"/>
      <c r="E278" s="117"/>
      <c r="F278" s="118" t="s">
        <v>161</v>
      </c>
      <c r="G278" s="272" t="s">
        <v>621</v>
      </c>
      <c r="H278" s="118" t="s">
        <v>92</v>
      </c>
      <c r="I278" s="118" t="s">
        <v>163</v>
      </c>
      <c r="J278" s="117">
        <v>2023</v>
      </c>
      <c r="K278" s="117">
        <v>13594</v>
      </c>
      <c r="L278" s="172">
        <v>289575</v>
      </c>
      <c r="M278" s="285" t="s">
        <v>187</v>
      </c>
      <c r="N278" s="121" t="s">
        <v>161</v>
      </c>
      <c r="O278" s="170"/>
      <c r="P278" s="134"/>
      <c r="Q278" s="134">
        <f t="shared" si="13"/>
        <v>0</v>
      </c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</row>
    <row r="279" spans="1:29" ht="36">
      <c r="A279" s="289">
        <v>40058527</v>
      </c>
      <c r="B279" s="123">
        <v>33</v>
      </c>
      <c r="C279" s="119" t="s">
        <v>26</v>
      </c>
      <c r="D279" s="123"/>
      <c r="E279" s="117"/>
      <c r="F279" s="118" t="s">
        <v>161</v>
      </c>
      <c r="G279" s="272" t="s">
        <v>622</v>
      </c>
      <c r="H279" s="251" t="s">
        <v>91</v>
      </c>
      <c r="I279" s="118" t="s">
        <v>163</v>
      </c>
      <c r="J279" s="117">
        <v>2023</v>
      </c>
      <c r="K279" s="117">
        <v>13594</v>
      </c>
      <c r="L279" s="172">
        <v>294448</v>
      </c>
      <c r="M279" s="285" t="s">
        <v>165</v>
      </c>
      <c r="N279" s="121" t="s">
        <v>161</v>
      </c>
      <c r="O279" s="170"/>
      <c r="P279" s="134"/>
      <c r="Q279" s="134">
        <f t="shared" si="13"/>
        <v>0</v>
      </c>
      <c r="R279" s="134"/>
      <c r="S279" s="134"/>
      <c r="T279" s="134"/>
      <c r="U279" s="134"/>
      <c r="V279" s="134"/>
      <c r="W279" s="134"/>
      <c r="X279" s="134"/>
      <c r="Y279" s="134"/>
      <c r="Z279" s="134"/>
      <c r="AA279" s="134"/>
      <c r="AB279" s="134"/>
      <c r="AC279" s="134"/>
    </row>
    <row r="280" spans="1:29" ht="48">
      <c r="A280" s="289">
        <v>40058570</v>
      </c>
      <c r="B280" s="123">
        <v>33</v>
      </c>
      <c r="C280" s="119" t="s">
        <v>26</v>
      </c>
      <c r="D280" s="123"/>
      <c r="E280" s="117"/>
      <c r="F280" s="118" t="s">
        <v>161</v>
      </c>
      <c r="G280" s="272" t="s">
        <v>623</v>
      </c>
      <c r="H280" s="251" t="s">
        <v>86</v>
      </c>
      <c r="I280" s="118" t="s">
        <v>163</v>
      </c>
      <c r="J280" s="117">
        <v>2023</v>
      </c>
      <c r="K280" s="117">
        <v>13594</v>
      </c>
      <c r="L280" s="172">
        <v>247214</v>
      </c>
      <c r="M280" s="285" t="s">
        <v>229</v>
      </c>
      <c r="N280" s="121" t="s">
        <v>161</v>
      </c>
      <c r="O280" s="170"/>
      <c r="P280" s="170"/>
      <c r="Q280" s="134">
        <f t="shared" si="13"/>
        <v>0</v>
      </c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</row>
    <row r="281" spans="1:29" ht="48">
      <c r="A281" s="289">
        <v>40058529</v>
      </c>
      <c r="B281" s="123">
        <v>33</v>
      </c>
      <c r="C281" s="119" t="s">
        <v>26</v>
      </c>
      <c r="D281" s="123"/>
      <c r="E281" s="117"/>
      <c r="F281" s="118" t="s">
        <v>161</v>
      </c>
      <c r="G281" s="272" t="s">
        <v>624</v>
      </c>
      <c r="H281" s="251" t="s">
        <v>93</v>
      </c>
      <c r="I281" s="118" t="s">
        <v>219</v>
      </c>
      <c r="J281" s="117">
        <v>2023</v>
      </c>
      <c r="K281" s="117">
        <v>13594</v>
      </c>
      <c r="L281" s="172">
        <v>290000</v>
      </c>
      <c r="M281" s="285" t="s">
        <v>190</v>
      </c>
      <c r="N281" s="121" t="s">
        <v>161</v>
      </c>
      <c r="O281" s="170"/>
      <c r="P281" s="170"/>
      <c r="Q281" s="134">
        <f t="shared" si="13"/>
        <v>0</v>
      </c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</row>
    <row r="282" spans="1:29" ht="48">
      <c r="A282" s="289">
        <v>40058569</v>
      </c>
      <c r="B282" s="123">
        <v>33</v>
      </c>
      <c r="C282" s="119" t="s">
        <v>26</v>
      </c>
      <c r="D282" s="123"/>
      <c r="E282" s="117"/>
      <c r="F282" s="118" t="s">
        <v>161</v>
      </c>
      <c r="G282" s="272" t="s">
        <v>625</v>
      </c>
      <c r="H282" s="251" t="s">
        <v>94</v>
      </c>
      <c r="I282" s="118" t="s">
        <v>163</v>
      </c>
      <c r="J282" s="117">
        <v>2023</v>
      </c>
      <c r="K282" s="117">
        <v>13594</v>
      </c>
      <c r="L282" s="172">
        <v>278421</v>
      </c>
      <c r="M282" s="285" t="s">
        <v>256</v>
      </c>
      <c r="N282" s="121" t="s">
        <v>161</v>
      </c>
      <c r="O282" s="170"/>
      <c r="P282" s="134"/>
      <c r="Q282" s="134">
        <f t="shared" si="13"/>
        <v>0</v>
      </c>
      <c r="R282" s="134"/>
      <c r="S282" s="134"/>
      <c r="T282" s="134"/>
      <c r="U282" s="134"/>
      <c r="V282" s="134"/>
      <c r="W282" s="134"/>
      <c r="X282" s="134"/>
      <c r="Y282" s="134"/>
      <c r="Z282" s="134"/>
      <c r="AA282" s="134"/>
      <c r="AB282" s="134"/>
      <c r="AC282" s="134"/>
    </row>
    <row r="283" spans="1:29" ht="48">
      <c r="A283" s="289">
        <v>40058547</v>
      </c>
      <c r="B283" s="123">
        <v>33</v>
      </c>
      <c r="C283" s="119" t="s">
        <v>26</v>
      </c>
      <c r="D283" s="123"/>
      <c r="E283" s="117"/>
      <c r="F283" s="118" t="s">
        <v>161</v>
      </c>
      <c r="G283" s="272" t="s">
        <v>626</v>
      </c>
      <c r="H283" s="251" t="s">
        <v>100</v>
      </c>
      <c r="I283" s="118" t="s">
        <v>310</v>
      </c>
      <c r="J283" s="117">
        <v>2023</v>
      </c>
      <c r="K283" s="117">
        <v>13594</v>
      </c>
      <c r="L283" s="172">
        <v>275296</v>
      </c>
      <c r="M283" s="285" t="s">
        <v>233</v>
      </c>
      <c r="N283" s="121" t="s">
        <v>161</v>
      </c>
      <c r="O283" s="170"/>
      <c r="P283" s="134"/>
      <c r="Q283" s="134">
        <f t="shared" si="13"/>
        <v>0</v>
      </c>
      <c r="R283" s="134"/>
      <c r="S283" s="134"/>
      <c r="T283" s="134"/>
      <c r="U283" s="134"/>
      <c r="V283" s="134"/>
      <c r="W283" s="134"/>
      <c r="X283" s="134"/>
      <c r="Y283" s="134"/>
      <c r="Z283" s="134"/>
      <c r="AA283" s="134"/>
      <c r="AB283" s="134"/>
      <c r="AC283" s="134"/>
    </row>
    <row r="284" spans="1:29" ht="36">
      <c r="A284" s="289">
        <v>40058526</v>
      </c>
      <c r="B284" s="123">
        <v>33</v>
      </c>
      <c r="C284" s="119" t="s">
        <v>26</v>
      </c>
      <c r="D284" s="123"/>
      <c r="E284" s="117"/>
      <c r="F284" s="118" t="s">
        <v>161</v>
      </c>
      <c r="G284" s="272" t="s">
        <v>627</v>
      </c>
      <c r="H284" s="251" t="s">
        <v>87</v>
      </c>
      <c r="I284" s="118" t="s">
        <v>163</v>
      </c>
      <c r="J284" s="117">
        <v>2023</v>
      </c>
      <c r="K284" s="117">
        <v>13594</v>
      </c>
      <c r="L284" s="172">
        <v>249794</v>
      </c>
      <c r="M284" s="285" t="s">
        <v>253</v>
      </c>
      <c r="N284" s="121" t="s">
        <v>161</v>
      </c>
      <c r="O284" s="170"/>
      <c r="P284" s="170"/>
      <c r="Q284" s="134">
        <f t="shared" si="13"/>
        <v>0</v>
      </c>
      <c r="R284" s="134"/>
      <c r="S284" s="134"/>
      <c r="T284" s="134"/>
      <c r="U284" s="134"/>
      <c r="V284" s="134"/>
      <c r="W284" s="134"/>
      <c r="X284" s="134"/>
      <c r="Y284" s="134"/>
      <c r="Z284" s="134"/>
      <c r="AA284" s="134"/>
      <c r="AB284" s="134"/>
      <c r="AC284" s="134"/>
    </row>
    <row r="285" spans="1:29" ht="36">
      <c r="A285" s="303">
        <v>40057782</v>
      </c>
      <c r="B285" s="117">
        <v>29</v>
      </c>
      <c r="C285" s="119" t="s">
        <v>26</v>
      </c>
      <c r="D285" s="123" t="s">
        <v>332</v>
      </c>
      <c r="E285" s="119"/>
      <c r="F285" s="118" t="s">
        <v>161</v>
      </c>
      <c r="G285" s="272" t="s">
        <v>628</v>
      </c>
      <c r="H285" s="251" t="s">
        <v>99</v>
      </c>
      <c r="I285" s="118" t="s">
        <v>163</v>
      </c>
      <c r="J285" s="117">
        <v>2023</v>
      </c>
      <c r="K285" s="117">
        <v>13611</v>
      </c>
      <c r="L285" s="172">
        <v>802710</v>
      </c>
      <c r="M285" s="285" t="s">
        <v>753</v>
      </c>
      <c r="N285" s="121" t="s">
        <v>591</v>
      </c>
      <c r="O285" s="170">
        <v>45569</v>
      </c>
      <c r="P285" s="134">
        <v>401355</v>
      </c>
      <c r="Q285" s="134">
        <f t="shared" si="13"/>
        <v>0</v>
      </c>
      <c r="R285" s="134"/>
      <c r="S285" s="134"/>
      <c r="T285" s="134"/>
      <c r="U285" s="134"/>
      <c r="V285" s="134"/>
      <c r="W285" s="134"/>
      <c r="X285" s="134"/>
      <c r="Y285" s="134"/>
      <c r="Z285" s="134"/>
      <c r="AA285" s="134"/>
      <c r="AB285" s="134"/>
      <c r="AC285" s="134"/>
    </row>
    <row r="286" spans="1:29" ht="36">
      <c r="A286" s="289">
        <v>40023616</v>
      </c>
      <c r="B286" s="119" t="s">
        <v>629</v>
      </c>
      <c r="C286" s="119" t="s">
        <v>26</v>
      </c>
      <c r="D286" s="123" t="s">
        <v>332</v>
      </c>
      <c r="E286" s="260"/>
      <c r="F286" s="118" t="s">
        <v>161</v>
      </c>
      <c r="G286" s="272" t="s">
        <v>630</v>
      </c>
      <c r="H286" s="251" t="s">
        <v>90</v>
      </c>
      <c r="I286" s="272" t="s">
        <v>163</v>
      </c>
      <c r="J286" s="117">
        <v>2023</v>
      </c>
      <c r="K286" s="117">
        <v>13066</v>
      </c>
      <c r="L286" s="172">
        <v>166271</v>
      </c>
      <c r="M286" s="281" t="s">
        <v>195</v>
      </c>
      <c r="N286" s="121" t="s">
        <v>178</v>
      </c>
      <c r="O286" s="170">
        <v>20650</v>
      </c>
      <c r="P286" s="170">
        <v>16627</v>
      </c>
      <c r="Q286" s="134">
        <f t="shared" si="13"/>
        <v>0</v>
      </c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</row>
    <row r="287" spans="1:29" ht="24">
      <c r="A287" s="289">
        <v>40050265</v>
      </c>
      <c r="B287" s="119" t="s">
        <v>629</v>
      </c>
      <c r="C287" s="119" t="s">
        <v>26</v>
      </c>
      <c r="D287" s="123" t="s">
        <v>332</v>
      </c>
      <c r="E287" s="260"/>
      <c r="F287" s="118" t="s">
        <v>161</v>
      </c>
      <c r="G287" s="272" t="s">
        <v>631</v>
      </c>
      <c r="H287" s="251" t="s">
        <v>93</v>
      </c>
      <c r="I287" s="272" t="s">
        <v>207</v>
      </c>
      <c r="J287" s="117">
        <v>2023</v>
      </c>
      <c r="K287" s="117">
        <v>13066</v>
      </c>
      <c r="L287" s="172">
        <v>168603</v>
      </c>
      <c r="M287" s="281" t="s">
        <v>190</v>
      </c>
      <c r="N287" s="121" t="s">
        <v>354</v>
      </c>
      <c r="O287" s="170">
        <v>22903</v>
      </c>
      <c r="P287" s="170"/>
      <c r="Q287" s="134">
        <f t="shared" si="13"/>
        <v>0</v>
      </c>
      <c r="R287" s="134"/>
      <c r="S287" s="134"/>
      <c r="T287" s="134"/>
      <c r="U287" s="134"/>
      <c r="V287" s="134"/>
      <c r="W287" s="134"/>
      <c r="X287" s="134"/>
      <c r="Y287" s="134"/>
      <c r="Z287" s="134"/>
      <c r="AA287" s="134"/>
      <c r="AB287" s="134"/>
      <c r="AC287" s="134"/>
    </row>
    <row r="288" spans="1:29" ht="36">
      <c r="A288" s="288">
        <v>40053339</v>
      </c>
      <c r="B288" s="117">
        <v>29</v>
      </c>
      <c r="C288" s="119" t="s">
        <v>26</v>
      </c>
      <c r="D288" s="123" t="s">
        <v>332</v>
      </c>
      <c r="E288" s="119"/>
      <c r="F288" s="118" t="s">
        <v>161</v>
      </c>
      <c r="G288" s="124" t="s">
        <v>632</v>
      </c>
      <c r="H288" s="118" t="s">
        <v>92</v>
      </c>
      <c r="I288" s="118" t="s">
        <v>163</v>
      </c>
      <c r="J288" s="117">
        <v>2023</v>
      </c>
      <c r="K288" s="117">
        <v>13611</v>
      </c>
      <c r="L288" s="172">
        <v>798505</v>
      </c>
      <c r="M288" s="285" t="s">
        <v>753</v>
      </c>
      <c r="N288" s="121" t="s">
        <v>161</v>
      </c>
      <c r="O288" s="134">
        <v>41506</v>
      </c>
      <c r="P288" s="134">
        <v>399252</v>
      </c>
      <c r="Q288" s="134">
        <f t="shared" si="13"/>
        <v>0</v>
      </c>
      <c r="R288" s="134"/>
      <c r="S288" s="134"/>
      <c r="T288" s="134"/>
      <c r="U288" s="181"/>
      <c r="V288" s="134"/>
      <c r="W288" s="134"/>
      <c r="X288" s="134"/>
      <c r="Y288" s="134"/>
      <c r="Z288" s="134"/>
      <c r="AA288" s="134"/>
      <c r="AB288" s="134"/>
      <c r="AC288" s="190"/>
    </row>
    <row r="289" spans="1:41" ht="36">
      <c r="A289" s="289">
        <v>40045425</v>
      </c>
      <c r="B289" s="123">
        <v>29</v>
      </c>
      <c r="C289" s="119" t="s">
        <v>26</v>
      </c>
      <c r="D289" s="123" t="s">
        <v>332</v>
      </c>
      <c r="E289" s="260"/>
      <c r="F289" s="118" t="s">
        <v>161</v>
      </c>
      <c r="G289" s="272" t="s">
        <v>633</v>
      </c>
      <c r="H289" s="118" t="s">
        <v>83</v>
      </c>
      <c r="I289" s="272" t="s">
        <v>163</v>
      </c>
      <c r="J289" s="117">
        <v>2023</v>
      </c>
      <c r="K289" s="117">
        <v>13145</v>
      </c>
      <c r="L289" s="172">
        <v>326790</v>
      </c>
      <c r="M289" s="281" t="s">
        <v>174</v>
      </c>
      <c r="N289" s="121" t="s">
        <v>591</v>
      </c>
      <c r="O289" s="170">
        <v>5741</v>
      </c>
      <c r="P289" s="170">
        <v>32679</v>
      </c>
      <c r="Q289" s="134">
        <f t="shared" si="13"/>
        <v>0</v>
      </c>
      <c r="R289" s="134"/>
      <c r="S289" s="134"/>
      <c r="T289" s="134"/>
      <c r="U289" s="134"/>
      <c r="V289" s="134"/>
      <c r="W289" s="134"/>
      <c r="X289" s="134"/>
      <c r="Y289" s="134"/>
      <c r="Z289" s="134"/>
      <c r="AA289" s="134"/>
      <c r="AB289" s="134"/>
      <c r="AC289" s="134"/>
    </row>
    <row r="290" spans="1:41" ht="48">
      <c r="A290" s="302">
        <v>40056940</v>
      </c>
      <c r="B290" s="117">
        <v>29</v>
      </c>
      <c r="C290" s="119" t="s">
        <v>26</v>
      </c>
      <c r="D290" s="123" t="s">
        <v>332</v>
      </c>
      <c r="E290" s="119"/>
      <c r="F290" s="118" t="s">
        <v>161</v>
      </c>
      <c r="G290" s="272" t="s">
        <v>634</v>
      </c>
      <c r="H290" s="251" t="s">
        <v>98</v>
      </c>
      <c r="I290" s="124" t="s">
        <v>163</v>
      </c>
      <c r="J290" s="117">
        <v>2024</v>
      </c>
      <c r="K290" s="117">
        <v>13835</v>
      </c>
      <c r="L290" s="172">
        <v>173740</v>
      </c>
      <c r="M290" s="118" t="s">
        <v>324</v>
      </c>
      <c r="N290" s="121" t="s">
        <v>354</v>
      </c>
      <c r="O290" s="170"/>
      <c r="P290" s="134">
        <v>86870</v>
      </c>
      <c r="Q290" s="134">
        <f t="shared" si="13"/>
        <v>0</v>
      </c>
      <c r="R290" s="134"/>
      <c r="S290" s="134"/>
      <c r="T290" s="134"/>
      <c r="U290" s="134"/>
      <c r="V290" s="134"/>
      <c r="W290" s="134"/>
      <c r="X290" s="134"/>
      <c r="Y290" s="134"/>
      <c r="Z290" s="134"/>
      <c r="AA290" s="134"/>
      <c r="AB290" s="134"/>
      <c r="AC290" s="134"/>
    </row>
    <row r="291" spans="1:41" ht="48">
      <c r="A291" s="288">
        <v>40033939</v>
      </c>
      <c r="B291" s="123">
        <v>29</v>
      </c>
      <c r="C291" s="119" t="s">
        <v>37</v>
      </c>
      <c r="D291" s="123" t="s">
        <v>635</v>
      </c>
      <c r="E291" s="260"/>
      <c r="F291" s="118" t="s">
        <v>161</v>
      </c>
      <c r="G291" s="124" t="s">
        <v>636</v>
      </c>
      <c r="H291" s="251" t="s">
        <v>84</v>
      </c>
      <c r="I291" s="272" t="s">
        <v>173</v>
      </c>
      <c r="J291" s="117">
        <v>2022</v>
      </c>
      <c r="K291" s="117">
        <v>12627</v>
      </c>
      <c r="L291" s="172">
        <v>1417677</v>
      </c>
      <c r="M291" s="274" t="s">
        <v>340</v>
      </c>
      <c r="N291" s="121" t="s">
        <v>161</v>
      </c>
      <c r="O291" s="170">
        <v>1506986</v>
      </c>
      <c r="P291" s="134">
        <v>1163799</v>
      </c>
      <c r="Q291" s="134">
        <f t="shared" si="13"/>
        <v>230146</v>
      </c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>
        <v>230146</v>
      </c>
      <c r="AB291" s="134"/>
      <c r="AC291" s="134"/>
    </row>
    <row r="292" spans="1:41" ht="36">
      <c r="A292" s="289">
        <v>40047299</v>
      </c>
      <c r="B292" s="119" t="s">
        <v>629</v>
      </c>
      <c r="C292" s="119" t="s">
        <v>26</v>
      </c>
      <c r="D292" s="123" t="s">
        <v>332</v>
      </c>
      <c r="E292" s="260"/>
      <c r="F292" s="118" t="s">
        <v>161</v>
      </c>
      <c r="G292" s="272" t="s">
        <v>637</v>
      </c>
      <c r="H292" s="251" t="s">
        <v>93</v>
      </c>
      <c r="I292" s="272" t="s">
        <v>310</v>
      </c>
      <c r="J292" s="117">
        <v>2023</v>
      </c>
      <c r="K292" s="117">
        <v>13066</v>
      </c>
      <c r="L292" s="172">
        <v>633293</v>
      </c>
      <c r="M292" s="274" t="s">
        <v>190</v>
      </c>
      <c r="N292" s="121" t="s">
        <v>354</v>
      </c>
      <c r="O292" s="170">
        <v>11880</v>
      </c>
      <c r="P292" s="170"/>
      <c r="Q292" s="134">
        <f t="shared" si="13"/>
        <v>0</v>
      </c>
      <c r="R292" s="134"/>
      <c r="S292" s="134"/>
      <c r="T292" s="134"/>
      <c r="U292" s="134"/>
      <c r="V292" s="134"/>
      <c r="W292" s="134"/>
      <c r="X292" s="134"/>
      <c r="Y292" s="134"/>
      <c r="Z292" s="134"/>
      <c r="AA292" s="134"/>
      <c r="AB292" s="134"/>
      <c r="AC292" s="134"/>
    </row>
    <row r="293" spans="1:41" ht="36">
      <c r="A293" s="289">
        <v>40032104</v>
      </c>
      <c r="B293" s="119" t="s">
        <v>629</v>
      </c>
      <c r="C293" s="119" t="s">
        <v>26</v>
      </c>
      <c r="D293" s="123" t="s">
        <v>332</v>
      </c>
      <c r="E293" s="260"/>
      <c r="F293" s="118" t="s">
        <v>161</v>
      </c>
      <c r="G293" s="272" t="s">
        <v>638</v>
      </c>
      <c r="H293" s="118" t="s">
        <v>103</v>
      </c>
      <c r="I293" s="272" t="s">
        <v>176</v>
      </c>
      <c r="J293" s="117">
        <v>2023</v>
      </c>
      <c r="K293" s="117">
        <v>13066</v>
      </c>
      <c r="L293" s="172">
        <v>219000</v>
      </c>
      <c r="M293" s="274" t="s">
        <v>489</v>
      </c>
      <c r="N293" s="121" t="s">
        <v>258</v>
      </c>
      <c r="O293" s="170">
        <v>219000</v>
      </c>
      <c r="P293" s="170"/>
      <c r="Q293" s="134">
        <f t="shared" si="13"/>
        <v>0</v>
      </c>
      <c r="R293" s="134"/>
      <c r="S293" s="134"/>
      <c r="T293" s="134"/>
      <c r="U293" s="134"/>
      <c r="V293" s="134"/>
      <c r="W293" s="134"/>
      <c r="X293" s="134"/>
      <c r="Y293" s="134"/>
      <c r="Z293" s="134"/>
      <c r="AA293" s="134"/>
      <c r="AB293" s="134"/>
      <c r="AC293" s="134"/>
    </row>
    <row r="294" spans="1:41" ht="48">
      <c r="A294" s="300">
        <v>40017103</v>
      </c>
      <c r="B294" s="119" t="s">
        <v>629</v>
      </c>
      <c r="C294" s="119" t="s">
        <v>26</v>
      </c>
      <c r="D294" s="123"/>
      <c r="E294" s="260"/>
      <c r="F294" s="118" t="s">
        <v>161</v>
      </c>
      <c r="G294" s="272" t="s">
        <v>639</v>
      </c>
      <c r="H294" s="118" t="s">
        <v>87</v>
      </c>
      <c r="I294" s="272" t="s">
        <v>310</v>
      </c>
      <c r="J294" s="117">
        <v>2020</v>
      </c>
      <c r="K294" s="117">
        <v>10766</v>
      </c>
      <c r="L294" s="172">
        <v>503715.86999999994</v>
      </c>
      <c r="M294" s="274" t="s">
        <v>253</v>
      </c>
      <c r="N294" s="121" t="s">
        <v>178</v>
      </c>
      <c r="O294" s="170">
        <v>26682</v>
      </c>
      <c r="P294" s="170">
        <v>0</v>
      </c>
      <c r="Q294" s="134">
        <f>SUM(R294:AC294)</f>
        <v>0</v>
      </c>
      <c r="R294" s="134"/>
      <c r="S294" s="134"/>
      <c r="T294" s="134"/>
      <c r="U294" s="134"/>
      <c r="V294" s="134"/>
      <c r="W294" s="134"/>
      <c r="X294" s="134"/>
      <c r="Y294" s="134"/>
      <c r="Z294" s="134"/>
      <c r="AA294" s="134"/>
      <c r="AB294" s="134"/>
      <c r="AC294" s="134"/>
    </row>
    <row r="295" spans="1:41" ht="48">
      <c r="A295" s="300">
        <v>40017103</v>
      </c>
      <c r="B295" s="119" t="s">
        <v>629</v>
      </c>
      <c r="C295" s="119" t="s">
        <v>37</v>
      </c>
      <c r="D295" s="123"/>
      <c r="E295" s="260"/>
      <c r="F295" s="118" t="s">
        <v>161</v>
      </c>
      <c r="G295" s="272" t="s">
        <v>640</v>
      </c>
      <c r="H295" s="118" t="s">
        <v>87</v>
      </c>
      <c r="I295" s="272" t="s">
        <v>310</v>
      </c>
      <c r="J295" s="117">
        <v>2020</v>
      </c>
      <c r="K295" s="117">
        <v>10766</v>
      </c>
      <c r="L295" s="172">
        <v>503715.86999999994</v>
      </c>
      <c r="M295" s="274" t="s">
        <v>253</v>
      </c>
      <c r="N295" s="121" t="s">
        <v>178</v>
      </c>
      <c r="O295" s="170">
        <v>60000</v>
      </c>
      <c r="P295" s="170">
        <v>0</v>
      </c>
      <c r="Q295" s="134">
        <f>SUM(R295:AC295)</f>
        <v>0</v>
      </c>
      <c r="R295" s="134"/>
      <c r="S295" s="134"/>
      <c r="T295" s="134"/>
      <c r="U295" s="134"/>
      <c r="V295" s="134"/>
      <c r="W295" s="134"/>
      <c r="X295" s="134"/>
      <c r="Y295" s="134"/>
      <c r="Z295" s="134"/>
      <c r="AA295" s="134"/>
      <c r="AB295" s="134"/>
      <c r="AC295" s="134"/>
    </row>
    <row r="296" spans="1:41" ht="48">
      <c r="A296" s="289">
        <v>40010393</v>
      </c>
      <c r="B296" s="123">
        <v>29</v>
      </c>
      <c r="C296" s="119" t="s">
        <v>26</v>
      </c>
      <c r="D296" s="119" t="s">
        <v>332</v>
      </c>
      <c r="E296" s="117"/>
      <c r="F296" s="118" t="s">
        <v>161</v>
      </c>
      <c r="G296" s="272" t="s">
        <v>641</v>
      </c>
      <c r="H296" s="118" t="s">
        <v>83</v>
      </c>
      <c r="I296" s="272" t="s">
        <v>173</v>
      </c>
      <c r="J296" s="117">
        <v>2023</v>
      </c>
      <c r="K296" s="117">
        <v>13202</v>
      </c>
      <c r="L296" s="172">
        <v>224750</v>
      </c>
      <c r="M296" s="281" t="s">
        <v>174</v>
      </c>
      <c r="N296" s="121" t="s">
        <v>591</v>
      </c>
      <c r="O296" s="170">
        <v>17152</v>
      </c>
      <c r="P296" s="170"/>
      <c r="Q296" s="134">
        <f t="shared" si="13"/>
        <v>0</v>
      </c>
      <c r="R296" s="134"/>
      <c r="S296" s="134"/>
      <c r="T296" s="134"/>
      <c r="U296" s="134"/>
      <c r="V296" s="134"/>
      <c r="W296" s="134"/>
      <c r="X296" s="134"/>
      <c r="Y296" s="134"/>
      <c r="Z296" s="134"/>
      <c r="AA296" s="134"/>
      <c r="AB296" s="134"/>
      <c r="AC296" s="134"/>
    </row>
    <row r="297" spans="1:41" ht="36">
      <c r="A297" s="289">
        <v>40008948</v>
      </c>
      <c r="B297" s="123">
        <v>31</v>
      </c>
      <c r="C297" s="119" t="s">
        <v>29</v>
      </c>
      <c r="D297" s="123" t="s">
        <v>160</v>
      </c>
      <c r="E297" s="260"/>
      <c r="F297" s="118" t="s">
        <v>166</v>
      </c>
      <c r="G297" s="272" t="s">
        <v>642</v>
      </c>
      <c r="H297" s="118" t="s">
        <v>83</v>
      </c>
      <c r="I297" s="272" t="s">
        <v>219</v>
      </c>
      <c r="J297" s="117">
        <v>2023</v>
      </c>
      <c r="K297" s="117">
        <v>13145</v>
      </c>
      <c r="L297" s="172">
        <v>293521</v>
      </c>
      <c r="M297" s="274" t="s">
        <v>174</v>
      </c>
      <c r="N297" s="121" t="s">
        <v>325</v>
      </c>
      <c r="O297" s="170">
        <v>237973</v>
      </c>
      <c r="P297" s="170">
        <v>47220</v>
      </c>
      <c r="Q297" s="134">
        <f t="shared" si="13"/>
        <v>0</v>
      </c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</row>
    <row r="298" spans="1:41">
      <c r="A298" s="288" t="s">
        <v>242</v>
      </c>
      <c r="B298" s="123">
        <v>32</v>
      </c>
      <c r="C298" s="119" t="s">
        <v>39</v>
      </c>
      <c r="D298" s="123" t="s">
        <v>643</v>
      </c>
      <c r="E298" s="119"/>
      <c r="F298" s="118" t="s">
        <v>161</v>
      </c>
      <c r="G298" s="124" t="s">
        <v>644</v>
      </c>
      <c r="H298" s="353" t="s">
        <v>242</v>
      </c>
      <c r="I298" s="272" t="s">
        <v>242</v>
      </c>
      <c r="J298" s="117" t="s">
        <v>245</v>
      </c>
      <c r="K298" s="117" t="s">
        <v>245</v>
      </c>
      <c r="L298" s="136" t="s">
        <v>245</v>
      </c>
      <c r="M298" s="284" t="s">
        <v>242</v>
      </c>
      <c r="N298" s="121" t="s">
        <v>245</v>
      </c>
      <c r="O298" s="170">
        <v>500000</v>
      </c>
      <c r="P298" s="134"/>
      <c r="Q298" s="134">
        <f t="shared" si="13"/>
        <v>0</v>
      </c>
      <c r="R298" s="134"/>
      <c r="S298" s="134"/>
      <c r="T298" s="134"/>
      <c r="U298" s="134"/>
      <c r="V298" s="134"/>
      <c r="W298" s="134"/>
      <c r="X298" s="134"/>
      <c r="Y298" s="134"/>
      <c r="Z298" s="174"/>
      <c r="AA298" s="134"/>
      <c r="AB298" s="134"/>
      <c r="AC298" s="134"/>
    </row>
    <row r="299" spans="1:41" ht="24">
      <c r="A299" s="288" t="s">
        <v>242</v>
      </c>
      <c r="B299" s="117">
        <v>26</v>
      </c>
      <c r="C299" s="119" t="s">
        <v>29</v>
      </c>
      <c r="D299" s="123" t="s">
        <v>645</v>
      </c>
      <c r="E299" s="119"/>
      <c r="F299" s="356" t="s">
        <v>242</v>
      </c>
      <c r="G299" s="124" t="s">
        <v>646</v>
      </c>
      <c r="H299" s="118" t="s">
        <v>103</v>
      </c>
      <c r="I299" s="272" t="s">
        <v>242</v>
      </c>
      <c r="J299" s="117">
        <v>2024</v>
      </c>
      <c r="K299" s="123" t="s">
        <v>242</v>
      </c>
      <c r="L299" s="136" t="s">
        <v>245</v>
      </c>
      <c r="M299" s="284" t="s">
        <v>242</v>
      </c>
      <c r="N299" s="121" t="s">
        <v>245</v>
      </c>
      <c r="O299" s="170"/>
      <c r="P299" s="134"/>
      <c r="Q299" s="134">
        <f t="shared" si="13"/>
        <v>58290.846000000005</v>
      </c>
      <c r="R299" s="134"/>
      <c r="S299" s="134"/>
      <c r="T299" s="134"/>
      <c r="U299" s="134"/>
      <c r="V299" s="134">
        <v>3998.4</v>
      </c>
      <c r="W299" s="134">
        <v>9996</v>
      </c>
      <c r="X299" s="134">
        <v>9996</v>
      </c>
      <c r="Y299" s="134">
        <v>22638.446</v>
      </c>
      <c r="Z299" s="134">
        <v>5997.6</v>
      </c>
      <c r="AA299" s="134">
        <v>5664.4</v>
      </c>
      <c r="AB299" s="134"/>
      <c r="AC299" s="134"/>
    </row>
    <row r="300" spans="1:41" ht="36">
      <c r="A300" s="288">
        <v>40002044</v>
      </c>
      <c r="B300" s="123">
        <v>31</v>
      </c>
      <c r="C300" s="119" t="s">
        <v>29</v>
      </c>
      <c r="D300" s="123" t="s">
        <v>160</v>
      </c>
      <c r="E300" s="117"/>
      <c r="F300" s="118" t="s">
        <v>161</v>
      </c>
      <c r="G300" s="124" t="s">
        <v>647</v>
      </c>
      <c r="H300" s="118" t="s">
        <v>83</v>
      </c>
      <c r="I300" s="272" t="s">
        <v>189</v>
      </c>
      <c r="J300" s="117">
        <v>2022</v>
      </c>
      <c r="K300" s="117">
        <v>11932</v>
      </c>
      <c r="L300" s="164">
        <v>354708</v>
      </c>
      <c r="M300" s="274" t="s">
        <v>174</v>
      </c>
      <c r="N300" s="121" t="s">
        <v>192</v>
      </c>
      <c r="O300" s="170">
        <v>250524</v>
      </c>
      <c r="P300" s="134">
        <v>318256</v>
      </c>
      <c r="Q300" s="134">
        <f t="shared" si="13"/>
        <v>0</v>
      </c>
      <c r="R300" s="134"/>
      <c r="S300" s="134"/>
      <c r="T300" s="134"/>
      <c r="U300" s="181"/>
      <c r="V300" s="134"/>
      <c r="W300" s="134"/>
      <c r="X300" s="134"/>
      <c r="Y300" s="134"/>
      <c r="Z300" s="174"/>
      <c r="AA300" s="134"/>
      <c r="AB300" s="134"/>
      <c r="AC300" s="134"/>
    </row>
    <row r="301" spans="1:41" ht="36">
      <c r="A301" s="288">
        <v>40002619</v>
      </c>
      <c r="B301" s="123">
        <v>31</v>
      </c>
      <c r="C301" s="119" t="s">
        <v>29</v>
      </c>
      <c r="D301" s="123" t="s">
        <v>160</v>
      </c>
      <c r="E301" s="117"/>
      <c r="F301" s="118" t="s">
        <v>161</v>
      </c>
      <c r="G301" s="124" t="s">
        <v>648</v>
      </c>
      <c r="H301" s="118" t="s">
        <v>83</v>
      </c>
      <c r="I301" s="272" t="s">
        <v>189</v>
      </c>
      <c r="J301" s="117">
        <v>2022</v>
      </c>
      <c r="K301" s="117">
        <v>11932</v>
      </c>
      <c r="L301" s="164">
        <v>239786</v>
      </c>
      <c r="M301" s="274" t="s">
        <v>174</v>
      </c>
      <c r="N301" s="121" t="s">
        <v>185</v>
      </c>
      <c r="O301" s="170">
        <v>213083</v>
      </c>
      <c r="P301" s="134"/>
      <c r="Q301" s="134">
        <f t="shared" si="13"/>
        <v>0</v>
      </c>
      <c r="R301" s="134"/>
      <c r="S301" s="134"/>
      <c r="T301" s="134"/>
      <c r="U301" s="181"/>
      <c r="V301" s="134"/>
      <c r="W301" s="134"/>
      <c r="X301" s="134"/>
      <c r="Y301" s="134"/>
      <c r="Z301" s="174"/>
      <c r="AA301" s="134"/>
      <c r="AB301" s="134"/>
      <c r="AC301" s="134"/>
    </row>
    <row r="302" spans="1:41" ht="36">
      <c r="A302" s="289">
        <v>40052793</v>
      </c>
      <c r="B302" s="123">
        <v>31</v>
      </c>
      <c r="C302" s="119" t="s">
        <v>29</v>
      </c>
      <c r="D302" s="119" t="s">
        <v>160</v>
      </c>
      <c r="E302" s="117"/>
      <c r="F302" s="118" t="s">
        <v>161</v>
      </c>
      <c r="G302" s="272" t="s">
        <v>649</v>
      </c>
      <c r="H302" s="251" t="s">
        <v>82</v>
      </c>
      <c r="I302" s="173" t="s">
        <v>247</v>
      </c>
      <c r="J302" s="117">
        <v>2023</v>
      </c>
      <c r="K302" s="117">
        <v>13221</v>
      </c>
      <c r="L302" s="172">
        <v>167178</v>
      </c>
      <c r="M302" s="274" t="s">
        <v>169</v>
      </c>
      <c r="N302" s="121" t="s">
        <v>178</v>
      </c>
      <c r="O302" s="170">
        <v>167178</v>
      </c>
      <c r="P302" s="170">
        <v>173026</v>
      </c>
      <c r="Q302" s="134">
        <f t="shared" si="13"/>
        <v>0</v>
      </c>
      <c r="R302" s="134"/>
      <c r="S302" s="134"/>
      <c r="T302" s="134"/>
      <c r="U302" s="134"/>
      <c r="V302" s="134"/>
      <c r="W302" s="134"/>
      <c r="X302" s="134"/>
      <c r="Y302" s="134"/>
      <c r="Z302" s="134"/>
      <c r="AA302" s="134"/>
      <c r="AB302" s="134"/>
      <c r="AC302" s="134"/>
    </row>
    <row r="303" spans="1:41" ht="36">
      <c r="A303" s="289">
        <v>40052020</v>
      </c>
      <c r="B303" s="123">
        <v>31</v>
      </c>
      <c r="C303" s="119" t="s">
        <v>29</v>
      </c>
      <c r="D303" s="119" t="s">
        <v>160</v>
      </c>
      <c r="E303" s="117"/>
      <c r="F303" s="118" t="s">
        <v>161</v>
      </c>
      <c r="G303" s="272" t="s">
        <v>650</v>
      </c>
      <c r="H303" s="251" t="s">
        <v>97</v>
      </c>
      <c r="I303" s="173" t="s">
        <v>247</v>
      </c>
      <c r="J303" s="117">
        <v>2023</v>
      </c>
      <c r="K303" s="117">
        <v>13221</v>
      </c>
      <c r="L303" s="172">
        <v>122858</v>
      </c>
      <c r="M303" s="274" t="s">
        <v>210</v>
      </c>
      <c r="N303" s="121" t="s">
        <v>161</v>
      </c>
      <c r="O303" s="170">
        <v>122858</v>
      </c>
      <c r="P303" s="170">
        <v>127156</v>
      </c>
      <c r="Q303" s="134">
        <f t="shared" si="13"/>
        <v>41928.108999999997</v>
      </c>
      <c r="R303" s="134"/>
      <c r="S303" s="134"/>
      <c r="T303" s="134"/>
      <c r="U303" s="134"/>
      <c r="V303" s="134"/>
      <c r="W303" s="134"/>
      <c r="X303" s="134">
        <v>5990.58</v>
      </c>
      <c r="Y303" s="134">
        <v>2995.29</v>
      </c>
      <c r="Z303" s="134">
        <v>2995.29</v>
      </c>
      <c r="AA303" s="134">
        <v>29946.949000000001</v>
      </c>
      <c r="AB303" s="134"/>
      <c r="AC303" s="134"/>
      <c r="AD303" s="250"/>
      <c r="AE303" s="250"/>
      <c r="AF303" s="250"/>
      <c r="AG303" s="250"/>
      <c r="AH303" s="250"/>
      <c r="AI303" s="250"/>
      <c r="AJ303" s="250"/>
      <c r="AK303" s="250"/>
      <c r="AL303" s="250"/>
      <c r="AM303" s="250"/>
      <c r="AN303" s="250"/>
      <c r="AO303" s="250"/>
    </row>
    <row r="304" spans="1:41" ht="36">
      <c r="A304" s="289">
        <v>40051481</v>
      </c>
      <c r="B304" s="123">
        <v>31</v>
      </c>
      <c r="C304" s="119" t="s">
        <v>29</v>
      </c>
      <c r="D304" s="119" t="s">
        <v>160</v>
      </c>
      <c r="E304" s="117"/>
      <c r="F304" s="118" t="s">
        <v>161</v>
      </c>
      <c r="G304" s="272" t="s">
        <v>651</v>
      </c>
      <c r="H304" s="251" t="s">
        <v>90</v>
      </c>
      <c r="I304" s="173" t="s">
        <v>247</v>
      </c>
      <c r="J304" s="117">
        <v>2023</v>
      </c>
      <c r="K304" s="117">
        <v>13221</v>
      </c>
      <c r="L304" s="172">
        <v>196430</v>
      </c>
      <c r="M304" s="274" t="s">
        <v>195</v>
      </c>
      <c r="N304" s="121" t="s">
        <v>161</v>
      </c>
      <c r="O304" s="170">
        <v>196430</v>
      </c>
      <c r="P304" s="170">
        <v>203303</v>
      </c>
      <c r="Q304" s="134">
        <f t="shared" si="13"/>
        <v>0</v>
      </c>
      <c r="R304" s="134"/>
      <c r="S304" s="134"/>
      <c r="T304" s="134"/>
      <c r="U304" s="134"/>
      <c r="V304" s="134"/>
      <c r="W304" s="134"/>
      <c r="X304" s="134"/>
      <c r="Y304" s="134"/>
      <c r="Z304" s="134"/>
      <c r="AA304" s="134"/>
      <c r="AB304" s="134"/>
      <c r="AC304" s="134"/>
    </row>
    <row r="305" spans="1:29" ht="36">
      <c r="A305" s="289">
        <v>40052894</v>
      </c>
      <c r="B305" s="123">
        <v>31</v>
      </c>
      <c r="C305" s="119" t="s">
        <v>29</v>
      </c>
      <c r="D305" s="119" t="s">
        <v>160</v>
      </c>
      <c r="E305" s="117"/>
      <c r="F305" s="118" t="s">
        <v>161</v>
      </c>
      <c r="G305" s="272" t="s">
        <v>652</v>
      </c>
      <c r="H305" s="251" t="s">
        <v>84</v>
      </c>
      <c r="I305" s="173" t="s">
        <v>247</v>
      </c>
      <c r="J305" s="117">
        <v>2023</v>
      </c>
      <c r="K305" s="117">
        <v>13221</v>
      </c>
      <c r="L305" s="172">
        <v>299990</v>
      </c>
      <c r="M305" s="274" t="s">
        <v>184</v>
      </c>
      <c r="N305" s="121" t="s">
        <v>161</v>
      </c>
      <c r="O305" s="170">
        <v>299990</v>
      </c>
      <c r="P305" s="170">
        <v>310486</v>
      </c>
      <c r="Q305" s="134">
        <f t="shared" si="13"/>
        <v>106383.842</v>
      </c>
      <c r="R305" s="134"/>
      <c r="S305" s="134"/>
      <c r="T305" s="134"/>
      <c r="U305" s="134"/>
      <c r="V305" s="134"/>
      <c r="W305" s="134"/>
      <c r="X305" s="134"/>
      <c r="Y305" s="134"/>
      <c r="Z305" s="134">
        <v>50362.466</v>
      </c>
      <c r="AA305" s="134">
        <v>56021.375999999997</v>
      </c>
      <c r="AB305" s="134"/>
      <c r="AC305" s="134"/>
    </row>
    <row r="306" spans="1:29" ht="36">
      <c r="A306" s="289">
        <v>40053721</v>
      </c>
      <c r="B306" s="123">
        <v>31</v>
      </c>
      <c r="C306" s="119" t="s">
        <v>29</v>
      </c>
      <c r="D306" s="119" t="s">
        <v>160</v>
      </c>
      <c r="E306" s="117"/>
      <c r="F306" s="118" t="s">
        <v>161</v>
      </c>
      <c r="G306" s="272" t="s">
        <v>653</v>
      </c>
      <c r="H306" s="251" t="s">
        <v>99</v>
      </c>
      <c r="I306" s="118" t="s">
        <v>168</v>
      </c>
      <c r="J306" s="117">
        <v>2023</v>
      </c>
      <c r="K306" s="117">
        <v>13221</v>
      </c>
      <c r="L306" s="172">
        <v>209490</v>
      </c>
      <c r="M306" s="274" t="s">
        <v>263</v>
      </c>
      <c r="N306" s="121" t="s">
        <v>161</v>
      </c>
      <c r="O306" s="170">
        <v>209490</v>
      </c>
      <c r="P306" s="170">
        <v>216820</v>
      </c>
      <c r="Q306" s="134">
        <f t="shared" si="13"/>
        <v>54733.962</v>
      </c>
      <c r="R306" s="134"/>
      <c r="S306" s="134"/>
      <c r="T306" s="134"/>
      <c r="U306" s="134"/>
      <c r="V306" s="134"/>
      <c r="W306" s="134"/>
      <c r="X306" s="134"/>
      <c r="Y306" s="134"/>
      <c r="Z306" s="134">
        <v>14967.884</v>
      </c>
      <c r="AA306" s="134">
        <v>39766.078000000001</v>
      </c>
      <c r="AB306" s="134"/>
      <c r="AC306" s="134"/>
    </row>
    <row r="307" spans="1:29" ht="36">
      <c r="A307" s="289">
        <v>40053333</v>
      </c>
      <c r="B307" s="123">
        <v>31</v>
      </c>
      <c r="C307" s="119" t="s">
        <v>29</v>
      </c>
      <c r="D307" s="119" t="s">
        <v>160</v>
      </c>
      <c r="E307" s="117"/>
      <c r="F307" s="118" t="s">
        <v>161</v>
      </c>
      <c r="G307" s="272" t="s">
        <v>654</v>
      </c>
      <c r="H307" s="118" t="s">
        <v>85</v>
      </c>
      <c r="I307" s="118" t="s">
        <v>163</v>
      </c>
      <c r="J307" s="117">
        <v>2023</v>
      </c>
      <c r="K307" s="117">
        <v>13221</v>
      </c>
      <c r="L307" s="172">
        <v>11708</v>
      </c>
      <c r="M307" s="274" t="s">
        <v>279</v>
      </c>
      <c r="N307" s="121" t="s">
        <v>655</v>
      </c>
      <c r="O307" s="170">
        <v>11708</v>
      </c>
      <c r="P307" s="170">
        <v>12117</v>
      </c>
      <c r="Q307" s="134">
        <f t="shared" si="13"/>
        <v>11655.097</v>
      </c>
      <c r="R307" s="134"/>
      <c r="S307" s="134"/>
      <c r="T307" s="134"/>
      <c r="U307" s="134"/>
      <c r="V307" s="134"/>
      <c r="W307" s="134"/>
      <c r="X307" s="134"/>
      <c r="Y307" s="134"/>
      <c r="Z307" s="134">
        <v>11655.097</v>
      </c>
      <c r="AA307" s="134"/>
      <c r="AB307" s="134"/>
      <c r="AC307" s="134"/>
    </row>
    <row r="308" spans="1:29" ht="36">
      <c r="A308" s="289">
        <v>40052849</v>
      </c>
      <c r="B308" s="123">
        <v>31</v>
      </c>
      <c r="C308" s="119" t="s">
        <v>29</v>
      </c>
      <c r="D308" s="119" t="s">
        <v>160</v>
      </c>
      <c r="E308" s="117"/>
      <c r="F308" s="118" t="s">
        <v>161</v>
      </c>
      <c r="G308" s="272" t="s">
        <v>656</v>
      </c>
      <c r="H308" s="118" t="s">
        <v>83</v>
      </c>
      <c r="I308" s="173" t="s">
        <v>247</v>
      </c>
      <c r="J308" s="117">
        <v>2023</v>
      </c>
      <c r="K308" s="117">
        <v>13221</v>
      </c>
      <c r="L308" s="172">
        <v>214312</v>
      </c>
      <c r="M308" s="274" t="s">
        <v>174</v>
      </c>
      <c r="N308" s="121" t="s">
        <v>178</v>
      </c>
      <c r="O308" s="170">
        <v>214312</v>
      </c>
      <c r="P308" s="170">
        <v>221810</v>
      </c>
      <c r="Q308" s="134">
        <f t="shared" si="13"/>
        <v>0</v>
      </c>
      <c r="R308" s="134"/>
      <c r="S308" s="134"/>
      <c r="T308" s="134"/>
      <c r="U308" s="134"/>
      <c r="V308" s="134"/>
      <c r="W308" s="134"/>
      <c r="X308" s="134"/>
      <c r="Y308" s="134"/>
      <c r="Z308" s="134"/>
      <c r="AA308" s="134"/>
      <c r="AB308" s="134"/>
      <c r="AC308" s="134"/>
    </row>
    <row r="309" spans="1:29" ht="36">
      <c r="A309" s="289">
        <v>40052988</v>
      </c>
      <c r="B309" s="123">
        <v>31</v>
      </c>
      <c r="C309" s="119" t="s">
        <v>29</v>
      </c>
      <c r="D309" s="119" t="s">
        <v>160</v>
      </c>
      <c r="E309" s="117"/>
      <c r="F309" s="118" t="s">
        <v>161</v>
      </c>
      <c r="G309" s="272" t="s">
        <v>657</v>
      </c>
      <c r="H309" s="251" t="s">
        <v>98</v>
      </c>
      <c r="I309" s="118" t="s">
        <v>163</v>
      </c>
      <c r="J309" s="117">
        <v>2023</v>
      </c>
      <c r="K309" s="117">
        <v>13221</v>
      </c>
      <c r="L309" s="172">
        <v>209784</v>
      </c>
      <c r="M309" s="274" t="s">
        <v>177</v>
      </c>
      <c r="N309" s="121" t="s">
        <v>161</v>
      </c>
      <c r="O309" s="170">
        <v>209784</v>
      </c>
      <c r="P309" s="170">
        <v>217124</v>
      </c>
      <c r="Q309" s="134">
        <f t="shared" si="13"/>
        <v>39969.612000000001</v>
      </c>
      <c r="R309" s="134"/>
      <c r="S309" s="134"/>
      <c r="T309" s="134"/>
      <c r="U309" s="134"/>
      <c r="V309" s="134"/>
      <c r="W309" s="134"/>
      <c r="X309" s="134"/>
      <c r="Y309" s="134">
        <v>1500</v>
      </c>
      <c r="Z309" s="134"/>
      <c r="AA309" s="134">
        <v>38469.612000000001</v>
      </c>
      <c r="AB309" s="134"/>
      <c r="AC309" s="134"/>
    </row>
    <row r="310" spans="1:29" ht="36">
      <c r="A310" s="289">
        <v>40052563</v>
      </c>
      <c r="B310" s="123">
        <v>31</v>
      </c>
      <c r="C310" s="119" t="s">
        <v>29</v>
      </c>
      <c r="D310" s="119" t="s">
        <v>160</v>
      </c>
      <c r="E310" s="117"/>
      <c r="F310" s="118" t="s">
        <v>161</v>
      </c>
      <c r="G310" s="272" t="s">
        <v>658</v>
      </c>
      <c r="H310" s="118" t="s">
        <v>92</v>
      </c>
      <c r="I310" s="173" t="s">
        <v>247</v>
      </c>
      <c r="J310" s="117">
        <v>2023</v>
      </c>
      <c r="K310" s="117">
        <v>13221</v>
      </c>
      <c r="L310" s="172">
        <v>229249</v>
      </c>
      <c r="M310" s="274" t="s">
        <v>187</v>
      </c>
      <c r="N310" s="121" t="s">
        <v>178</v>
      </c>
      <c r="O310" s="170">
        <v>229249</v>
      </c>
      <c r="P310" s="170">
        <v>237270</v>
      </c>
      <c r="Q310" s="134">
        <f t="shared" si="13"/>
        <v>0</v>
      </c>
      <c r="R310" s="134"/>
      <c r="S310" s="134"/>
      <c r="T310" s="134"/>
      <c r="U310" s="134"/>
      <c r="V310" s="134"/>
      <c r="W310" s="134"/>
      <c r="X310" s="134"/>
      <c r="Y310" s="134"/>
      <c r="Z310" s="134"/>
      <c r="AA310" s="134"/>
      <c r="AB310" s="134"/>
      <c r="AC310" s="134"/>
    </row>
    <row r="311" spans="1:29" ht="24">
      <c r="A311" s="289">
        <v>40052639</v>
      </c>
      <c r="B311" s="123">
        <v>31</v>
      </c>
      <c r="C311" s="119" t="s">
        <v>29</v>
      </c>
      <c r="D311" s="119" t="s">
        <v>160</v>
      </c>
      <c r="E311" s="117"/>
      <c r="F311" s="118" t="s">
        <v>161</v>
      </c>
      <c r="G311" s="272" t="s">
        <v>659</v>
      </c>
      <c r="H311" s="251" t="s">
        <v>91</v>
      </c>
      <c r="I311" s="173" t="s">
        <v>247</v>
      </c>
      <c r="J311" s="117">
        <v>2023</v>
      </c>
      <c r="K311" s="117">
        <v>13221</v>
      </c>
      <c r="L311" s="172">
        <v>200086</v>
      </c>
      <c r="M311" s="274" t="s">
        <v>165</v>
      </c>
      <c r="N311" s="121" t="s">
        <v>192</v>
      </c>
      <c r="O311" s="170">
        <v>200086</v>
      </c>
      <c r="P311" s="170">
        <v>207087</v>
      </c>
      <c r="Q311" s="134">
        <f t="shared" si="13"/>
        <v>0</v>
      </c>
      <c r="R311" s="134"/>
      <c r="S311" s="134"/>
      <c r="T311" s="134"/>
      <c r="U311" s="134"/>
      <c r="V311" s="134"/>
      <c r="W311" s="134"/>
      <c r="X311" s="134"/>
      <c r="Y311" s="134"/>
      <c r="Z311" s="134"/>
      <c r="AA311" s="134"/>
      <c r="AB311" s="134"/>
      <c r="AC311" s="134"/>
    </row>
    <row r="312" spans="1:29" ht="36">
      <c r="A312" s="289">
        <v>40052819</v>
      </c>
      <c r="B312" s="123">
        <v>31</v>
      </c>
      <c r="C312" s="119" t="s">
        <v>29</v>
      </c>
      <c r="D312" s="119" t="s">
        <v>160</v>
      </c>
      <c r="E312" s="117"/>
      <c r="F312" s="118" t="s">
        <v>161</v>
      </c>
      <c r="G312" s="272" t="s">
        <v>660</v>
      </c>
      <c r="H312" s="251" t="s">
        <v>86</v>
      </c>
      <c r="I312" s="118" t="s">
        <v>168</v>
      </c>
      <c r="J312" s="117">
        <v>2023</v>
      </c>
      <c r="K312" s="117">
        <v>13221</v>
      </c>
      <c r="L312" s="172">
        <v>129105</v>
      </c>
      <c r="M312" s="274" t="s">
        <v>229</v>
      </c>
      <c r="N312" s="121" t="s">
        <v>178</v>
      </c>
      <c r="O312" s="170">
        <v>129105</v>
      </c>
      <c r="P312" s="170">
        <v>133623</v>
      </c>
      <c r="Q312" s="134">
        <f t="shared" si="13"/>
        <v>0</v>
      </c>
      <c r="R312" s="134"/>
      <c r="S312" s="134"/>
      <c r="T312" s="134"/>
      <c r="U312" s="134"/>
      <c r="V312" s="134"/>
      <c r="W312" s="134"/>
      <c r="X312" s="134"/>
      <c r="Y312" s="134"/>
      <c r="Z312" s="134"/>
      <c r="AA312" s="134"/>
      <c r="AB312" s="134"/>
      <c r="AC312" s="134"/>
    </row>
    <row r="313" spans="1:29" ht="36">
      <c r="A313" s="289">
        <v>40052739</v>
      </c>
      <c r="B313" s="123">
        <v>31</v>
      </c>
      <c r="C313" s="119" t="s">
        <v>29</v>
      </c>
      <c r="D313" s="119" t="s">
        <v>160</v>
      </c>
      <c r="E313" s="117"/>
      <c r="F313" s="118" t="s">
        <v>161</v>
      </c>
      <c r="G313" s="272" t="s">
        <v>661</v>
      </c>
      <c r="H313" s="251" t="s">
        <v>93</v>
      </c>
      <c r="I313" s="173" t="s">
        <v>247</v>
      </c>
      <c r="J313" s="117">
        <v>2023</v>
      </c>
      <c r="K313" s="117">
        <v>13221</v>
      </c>
      <c r="L313" s="172">
        <v>116260</v>
      </c>
      <c r="M313" s="274" t="s">
        <v>190</v>
      </c>
      <c r="N313" s="121" t="s">
        <v>178</v>
      </c>
      <c r="O313" s="170">
        <v>116260</v>
      </c>
      <c r="P313" s="170">
        <v>120327</v>
      </c>
      <c r="Q313" s="134">
        <f t="shared" si="13"/>
        <v>0</v>
      </c>
      <c r="R313" s="134"/>
      <c r="S313" s="134"/>
      <c r="T313" s="134"/>
      <c r="U313" s="134"/>
      <c r="V313" s="134"/>
      <c r="W313" s="134"/>
      <c r="X313" s="134"/>
      <c r="Y313" s="134"/>
      <c r="Z313" s="134"/>
      <c r="AA313" s="134"/>
      <c r="AB313" s="134"/>
      <c r="AC313" s="134"/>
    </row>
    <row r="314" spans="1:29" ht="36">
      <c r="A314" s="289">
        <v>40052651</v>
      </c>
      <c r="B314" s="123">
        <v>31</v>
      </c>
      <c r="C314" s="119" t="s">
        <v>29</v>
      </c>
      <c r="D314" s="119" t="s">
        <v>160</v>
      </c>
      <c r="E314" s="117"/>
      <c r="F314" s="118" t="s">
        <v>161</v>
      </c>
      <c r="G314" s="272" t="s">
        <v>662</v>
      </c>
      <c r="H314" s="251" t="s">
        <v>100</v>
      </c>
      <c r="I314" s="118" t="s">
        <v>168</v>
      </c>
      <c r="J314" s="117">
        <v>2023</v>
      </c>
      <c r="K314" s="117">
        <v>13221</v>
      </c>
      <c r="L314" s="172">
        <v>205084</v>
      </c>
      <c r="M314" s="274" t="s">
        <v>233</v>
      </c>
      <c r="N314" s="121" t="s">
        <v>161</v>
      </c>
      <c r="O314" s="170">
        <v>205084</v>
      </c>
      <c r="P314" s="170">
        <v>212261</v>
      </c>
      <c r="Q314" s="134">
        <f t="shared" si="13"/>
        <v>83527.417000000001</v>
      </c>
      <c r="R314" s="134"/>
      <c r="S314" s="134"/>
      <c r="T314" s="134"/>
      <c r="U314" s="134"/>
      <c r="V314" s="134"/>
      <c r="W314" s="134"/>
      <c r="X314" s="134"/>
      <c r="Y314" s="134"/>
      <c r="Z314" s="134">
        <v>43411.232000000004</v>
      </c>
      <c r="AA314" s="134">
        <v>40116.184999999998</v>
      </c>
      <c r="AB314" s="134"/>
      <c r="AC314" s="134"/>
    </row>
    <row r="315" spans="1:29" ht="36">
      <c r="A315" s="299">
        <v>40052754</v>
      </c>
      <c r="B315" s="185">
        <v>31</v>
      </c>
      <c r="C315" s="267" t="s">
        <v>29</v>
      </c>
      <c r="D315" s="267" t="s">
        <v>160</v>
      </c>
      <c r="E315" s="138"/>
      <c r="F315" s="139" t="s">
        <v>161</v>
      </c>
      <c r="G315" s="295" t="s">
        <v>663</v>
      </c>
      <c r="H315" s="297" t="s">
        <v>87</v>
      </c>
      <c r="I315" s="118" t="s">
        <v>163</v>
      </c>
      <c r="J315" s="117">
        <v>2023</v>
      </c>
      <c r="K315" s="117">
        <v>13221</v>
      </c>
      <c r="L315" s="172">
        <v>118788</v>
      </c>
      <c r="M315" s="173" t="s">
        <v>253</v>
      </c>
      <c r="N315" s="121" t="s">
        <v>161</v>
      </c>
      <c r="O315" s="247">
        <v>118788</v>
      </c>
      <c r="P315" s="247">
        <v>122945</v>
      </c>
      <c r="Q315" s="186">
        <f t="shared" si="13"/>
        <v>54344.313000000002</v>
      </c>
      <c r="R315" s="186"/>
      <c r="S315" s="186"/>
      <c r="T315" s="186"/>
      <c r="U315" s="186"/>
      <c r="V315" s="186"/>
      <c r="W315" s="186"/>
      <c r="X315" s="186"/>
      <c r="Y315" s="186">
        <v>54344.313000000002</v>
      </c>
      <c r="Z315" s="186"/>
      <c r="AA315" s="186"/>
      <c r="AB315" s="186"/>
      <c r="AC315" s="186"/>
    </row>
    <row r="316" spans="1:29" ht="24">
      <c r="A316" s="123">
        <v>40009344</v>
      </c>
      <c r="B316" s="123">
        <v>31</v>
      </c>
      <c r="C316" s="119" t="s">
        <v>29</v>
      </c>
      <c r="D316" s="123" t="s">
        <v>160</v>
      </c>
      <c r="E316" s="117"/>
      <c r="F316" s="118" t="s">
        <v>161</v>
      </c>
      <c r="G316" s="124" t="s">
        <v>664</v>
      </c>
      <c r="H316" s="118" t="s">
        <v>90</v>
      </c>
      <c r="I316" s="272" t="s">
        <v>163</v>
      </c>
      <c r="J316" s="117">
        <v>2019</v>
      </c>
      <c r="K316" s="117">
        <v>9830</v>
      </c>
      <c r="L316" s="164">
        <v>656138</v>
      </c>
      <c r="M316" s="118" t="s">
        <v>195</v>
      </c>
      <c r="N316" s="121" t="s">
        <v>1054</v>
      </c>
      <c r="O316" s="247">
        <v>669803</v>
      </c>
      <c r="P316" s="186">
        <v>110000</v>
      </c>
      <c r="Q316" s="186">
        <f t="shared" si="13"/>
        <v>0</v>
      </c>
      <c r="R316" s="186"/>
      <c r="S316" s="186"/>
      <c r="T316" s="186"/>
      <c r="U316" s="294"/>
      <c r="V316" s="313"/>
      <c r="W316" s="186"/>
      <c r="X316" s="186"/>
      <c r="Y316" s="186"/>
      <c r="Z316" s="306"/>
      <c r="AA316" s="186"/>
      <c r="AB316" s="186"/>
      <c r="AC316" s="186"/>
    </row>
    <row r="317" spans="1:29" ht="24">
      <c r="A317" s="123">
        <v>40015369</v>
      </c>
      <c r="B317" s="123">
        <v>31</v>
      </c>
      <c r="C317" s="119" t="s">
        <v>29</v>
      </c>
      <c r="D317" s="330" t="s">
        <v>160</v>
      </c>
      <c r="E317" s="117"/>
      <c r="F317" s="118" t="s">
        <v>161</v>
      </c>
      <c r="G317" s="124" t="s">
        <v>665</v>
      </c>
      <c r="H317" s="118" t="s">
        <v>83</v>
      </c>
      <c r="I317" s="272" t="s">
        <v>163</v>
      </c>
      <c r="J317" s="117">
        <v>2020</v>
      </c>
      <c r="K317" s="117">
        <v>10766</v>
      </c>
      <c r="L317" s="164">
        <v>6786017</v>
      </c>
      <c r="M317" s="118" t="s">
        <v>666</v>
      </c>
      <c r="N317" s="121" t="s">
        <v>287</v>
      </c>
      <c r="O317" s="170">
        <v>1</v>
      </c>
      <c r="P317" s="134">
        <v>80000</v>
      </c>
      <c r="Q317" s="134">
        <f t="shared" si="13"/>
        <v>0</v>
      </c>
      <c r="R317" s="134"/>
      <c r="S317" s="134"/>
      <c r="T317" s="134"/>
      <c r="U317" s="181"/>
      <c r="V317" s="134"/>
      <c r="W317" s="134"/>
      <c r="X317" s="134"/>
      <c r="Y317" s="134"/>
      <c r="Z317" s="174"/>
      <c r="AA317" s="134"/>
      <c r="AB317" s="134"/>
      <c r="AC317" s="134"/>
    </row>
    <row r="318" spans="1:29" ht="36">
      <c r="A318" s="308">
        <v>40023780</v>
      </c>
      <c r="B318" s="117">
        <v>31</v>
      </c>
      <c r="C318" s="119" t="s">
        <v>29</v>
      </c>
      <c r="D318" s="123" t="s">
        <v>160</v>
      </c>
      <c r="E318" s="328"/>
      <c r="F318" s="118" t="s">
        <v>161</v>
      </c>
      <c r="G318" s="272" t="s">
        <v>667</v>
      </c>
      <c r="H318" s="251" t="s">
        <v>90</v>
      </c>
      <c r="I318" s="325" t="s">
        <v>173</v>
      </c>
      <c r="J318" s="117">
        <v>2024</v>
      </c>
      <c r="K318" s="117">
        <v>13835</v>
      </c>
      <c r="L318" s="172">
        <v>936271</v>
      </c>
      <c r="M318" s="118" t="s">
        <v>195</v>
      </c>
      <c r="N318" s="121" t="s">
        <v>287</v>
      </c>
      <c r="O318" s="326"/>
      <c r="P318" s="134">
        <v>19276</v>
      </c>
      <c r="Q318" s="134">
        <f t="shared" si="13"/>
        <v>0</v>
      </c>
      <c r="R318" s="186"/>
      <c r="S318" s="327"/>
      <c r="T318" s="134"/>
      <c r="U318" s="134"/>
      <c r="V318" s="134"/>
      <c r="W318" s="134"/>
      <c r="X318" s="134"/>
      <c r="Y318" s="134"/>
      <c r="Z318" s="134"/>
      <c r="AA318" s="134"/>
      <c r="AB318" s="134"/>
      <c r="AC318" s="134"/>
    </row>
    <row r="319" spans="1:29" ht="36">
      <c r="A319" s="123">
        <v>30064704</v>
      </c>
      <c r="B319" s="117">
        <v>31</v>
      </c>
      <c r="C319" s="119" t="s">
        <v>29</v>
      </c>
      <c r="D319" s="123" t="s">
        <v>160</v>
      </c>
      <c r="E319" s="117"/>
      <c r="F319" s="139" t="s">
        <v>161</v>
      </c>
      <c r="G319" s="137" t="s">
        <v>668</v>
      </c>
      <c r="H319" s="118" t="s">
        <v>94</v>
      </c>
      <c r="I319" s="272" t="s">
        <v>189</v>
      </c>
      <c r="J319" s="117">
        <v>2011</v>
      </c>
      <c r="K319" s="138">
        <v>4968</v>
      </c>
      <c r="L319" s="165">
        <v>778545</v>
      </c>
      <c r="M319" s="296" t="s">
        <v>256</v>
      </c>
      <c r="N319" s="121" t="s">
        <v>203</v>
      </c>
      <c r="O319" s="247">
        <v>1</v>
      </c>
      <c r="P319" s="186">
        <v>1000</v>
      </c>
      <c r="Q319" s="186">
        <f t="shared" si="13"/>
        <v>0</v>
      </c>
      <c r="R319" s="186"/>
      <c r="S319" s="186"/>
      <c r="T319" s="186"/>
      <c r="U319" s="294"/>
      <c r="V319" s="186"/>
      <c r="W319" s="186"/>
      <c r="X319" s="186"/>
      <c r="Y319" s="186"/>
      <c r="Z319" s="306"/>
      <c r="AA319" s="186"/>
      <c r="AB319" s="186"/>
      <c r="AC319" s="186"/>
    </row>
    <row r="320" spans="1:29" ht="36">
      <c r="A320" s="308">
        <v>40040663</v>
      </c>
      <c r="B320" s="117">
        <v>31</v>
      </c>
      <c r="C320" s="119" t="s">
        <v>29</v>
      </c>
      <c r="D320" s="123" t="s">
        <v>160</v>
      </c>
      <c r="E320" s="324"/>
      <c r="F320" s="118" t="s">
        <v>166</v>
      </c>
      <c r="G320" s="272" t="s">
        <v>669</v>
      </c>
      <c r="H320" s="251" t="s">
        <v>83</v>
      </c>
      <c r="I320" s="325" t="s">
        <v>173</v>
      </c>
      <c r="J320" s="117">
        <v>2024</v>
      </c>
      <c r="K320" s="117">
        <v>13837</v>
      </c>
      <c r="L320" s="172">
        <v>318168</v>
      </c>
      <c r="M320" s="118" t="s">
        <v>269</v>
      </c>
      <c r="N320" s="121" t="s">
        <v>287</v>
      </c>
      <c r="O320" s="326"/>
      <c r="P320" s="134">
        <v>65340</v>
      </c>
      <c r="Q320" s="134">
        <f t="shared" si="13"/>
        <v>0</v>
      </c>
      <c r="R320" s="186"/>
      <c r="S320" s="327"/>
      <c r="T320" s="134"/>
      <c r="U320" s="134"/>
      <c r="V320" s="186"/>
      <c r="W320" s="186"/>
      <c r="X320" s="186"/>
      <c r="Y320" s="186"/>
      <c r="Z320" s="186"/>
      <c r="AA320" s="186"/>
      <c r="AB320" s="186"/>
      <c r="AC320" s="186"/>
    </row>
    <row r="321" spans="1:29" ht="36">
      <c r="A321" s="123">
        <v>30426830</v>
      </c>
      <c r="B321" s="123">
        <v>31</v>
      </c>
      <c r="C321" s="119" t="s">
        <v>29</v>
      </c>
      <c r="D321" s="123" t="s">
        <v>160</v>
      </c>
      <c r="E321" s="260"/>
      <c r="F321" s="118" t="s">
        <v>161</v>
      </c>
      <c r="G321" s="124" t="s">
        <v>670</v>
      </c>
      <c r="H321" s="251" t="s">
        <v>97</v>
      </c>
      <c r="I321" s="172" t="s">
        <v>371</v>
      </c>
      <c r="J321" s="117">
        <v>2023</v>
      </c>
      <c r="K321" s="117">
        <v>12956</v>
      </c>
      <c r="L321" s="172">
        <v>1006377</v>
      </c>
      <c r="M321" s="173" t="s">
        <v>671</v>
      </c>
      <c r="N321" s="121" t="s">
        <v>161</v>
      </c>
      <c r="O321" s="134">
        <v>1006590</v>
      </c>
      <c r="P321" s="134">
        <v>1006590</v>
      </c>
      <c r="Q321" s="134">
        <f t="shared" si="13"/>
        <v>539225.30200000003</v>
      </c>
      <c r="R321" s="186"/>
      <c r="S321" s="186"/>
      <c r="T321" s="134">
        <v>127760.058</v>
      </c>
      <c r="U321" s="134"/>
      <c r="V321" s="186"/>
      <c r="W321" s="186"/>
      <c r="X321" s="186">
        <v>266367.10800000001</v>
      </c>
      <c r="Y321" s="134"/>
      <c r="Z321" s="134">
        <v>145098.136</v>
      </c>
      <c r="AA321" s="134"/>
      <c r="AB321" s="134"/>
      <c r="AC321" s="134"/>
    </row>
    <row r="322" spans="1:29" ht="36">
      <c r="A322" s="123">
        <v>40005301</v>
      </c>
      <c r="B322" s="123">
        <v>31</v>
      </c>
      <c r="C322" s="119" t="s">
        <v>29</v>
      </c>
      <c r="D322" s="123" t="s">
        <v>160</v>
      </c>
      <c r="E322" s="260"/>
      <c r="F322" s="118" t="s">
        <v>161</v>
      </c>
      <c r="G322" s="137" t="s">
        <v>672</v>
      </c>
      <c r="H322" s="297" t="s">
        <v>82</v>
      </c>
      <c r="I322" s="272" t="s">
        <v>189</v>
      </c>
      <c r="J322" s="138">
        <v>2023</v>
      </c>
      <c r="K322" s="138">
        <v>12956</v>
      </c>
      <c r="L322" s="293">
        <v>123462</v>
      </c>
      <c r="M322" s="173" t="s">
        <v>169</v>
      </c>
      <c r="N322" s="121" t="s">
        <v>287</v>
      </c>
      <c r="O322" s="247">
        <v>71980</v>
      </c>
      <c r="P322" s="186">
        <v>48964</v>
      </c>
      <c r="Q322" s="186">
        <f t="shared" si="13"/>
        <v>0</v>
      </c>
      <c r="R322" s="186"/>
      <c r="S322" s="186"/>
      <c r="T322" s="186"/>
      <c r="U322" s="186"/>
      <c r="V322" s="186"/>
      <c r="W322" s="186"/>
      <c r="X322" s="186"/>
      <c r="Y322" s="186"/>
      <c r="Z322" s="186"/>
      <c r="AA322" s="186"/>
      <c r="AB322" s="186"/>
      <c r="AC322" s="186"/>
    </row>
    <row r="323" spans="1:29" ht="36">
      <c r="A323" s="123">
        <v>40016396</v>
      </c>
      <c r="B323" s="123">
        <v>31</v>
      </c>
      <c r="C323" s="119" t="s">
        <v>29</v>
      </c>
      <c r="D323" s="123" t="s">
        <v>160</v>
      </c>
      <c r="E323" s="119"/>
      <c r="F323" s="118" t="s">
        <v>161</v>
      </c>
      <c r="G323" s="137" t="s">
        <v>673</v>
      </c>
      <c r="H323" s="139" t="s">
        <v>92</v>
      </c>
      <c r="I323" s="304" t="s">
        <v>447</v>
      </c>
      <c r="J323" s="138">
        <v>2020</v>
      </c>
      <c r="K323" s="311">
        <v>10497</v>
      </c>
      <c r="L323" s="165">
        <v>91733</v>
      </c>
      <c r="M323" s="305" t="s">
        <v>187</v>
      </c>
      <c r="N323" s="121" t="s">
        <v>674</v>
      </c>
      <c r="O323" s="247">
        <v>1</v>
      </c>
      <c r="P323" s="186">
        <v>27000</v>
      </c>
      <c r="Q323" s="186">
        <f t="shared" si="13"/>
        <v>0</v>
      </c>
      <c r="R323" s="186"/>
      <c r="S323" s="186"/>
      <c r="T323" s="186"/>
      <c r="U323" s="186"/>
      <c r="V323" s="186"/>
      <c r="W323" s="186"/>
      <c r="X323" s="186"/>
      <c r="Y323" s="186"/>
      <c r="Z323" s="306"/>
      <c r="AA323" s="186"/>
      <c r="AB323" s="186"/>
      <c r="AC323" s="186"/>
    </row>
    <row r="324" spans="1:29" ht="48">
      <c r="A324" s="300">
        <v>30480252</v>
      </c>
      <c r="B324" s="123">
        <v>31</v>
      </c>
      <c r="C324" s="119" t="s">
        <v>29</v>
      </c>
      <c r="D324" s="119" t="s">
        <v>160</v>
      </c>
      <c r="E324" s="117"/>
      <c r="F324" s="118" t="s">
        <v>166</v>
      </c>
      <c r="G324" s="272" t="s">
        <v>675</v>
      </c>
      <c r="H324" s="118" t="s">
        <v>83</v>
      </c>
      <c r="I324" s="118" t="s">
        <v>219</v>
      </c>
      <c r="J324" s="117">
        <v>2023</v>
      </c>
      <c r="K324" s="117">
        <v>13598</v>
      </c>
      <c r="L324" s="172">
        <v>289796</v>
      </c>
      <c r="M324" s="118" t="s">
        <v>174</v>
      </c>
      <c r="N324" s="121" t="s">
        <v>325</v>
      </c>
      <c r="O324" s="247">
        <v>100000</v>
      </c>
      <c r="P324" s="170">
        <v>77820</v>
      </c>
      <c r="Q324" s="134">
        <f t="shared" si="13"/>
        <v>0</v>
      </c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  <c r="AC324" s="186"/>
    </row>
    <row r="325" spans="1:29" ht="60">
      <c r="A325" s="292">
        <v>30484187</v>
      </c>
      <c r="B325" s="1">
        <v>31</v>
      </c>
      <c r="C325" s="267" t="s">
        <v>29</v>
      </c>
      <c r="D325" s="1" t="s">
        <v>160</v>
      </c>
      <c r="E325" s="6"/>
      <c r="F325" s="139" t="s">
        <v>220</v>
      </c>
      <c r="G325" s="137" t="s">
        <v>676</v>
      </c>
      <c r="H325" s="139" t="s">
        <v>92</v>
      </c>
      <c r="I325" s="304" t="s">
        <v>223</v>
      </c>
      <c r="J325" s="138">
        <v>2018</v>
      </c>
      <c r="K325" s="138" t="s">
        <v>224</v>
      </c>
      <c r="L325" s="165">
        <v>69024</v>
      </c>
      <c r="M325" s="296" t="s">
        <v>187</v>
      </c>
      <c r="N325" s="121" t="s">
        <v>203</v>
      </c>
      <c r="O325" s="247"/>
      <c r="P325" s="186"/>
      <c r="Q325" s="186">
        <f t="shared" si="13"/>
        <v>0</v>
      </c>
      <c r="R325" s="186"/>
      <c r="S325" s="186"/>
      <c r="T325" s="186"/>
      <c r="U325" s="312"/>
      <c r="V325" s="186"/>
      <c r="W325" s="186"/>
      <c r="X325" s="186"/>
      <c r="Y325" s="186"/>
      <c r="Z325" s="306"/>
      <c r="AA325" s="186"/>
      <c r="AB325" s="186"/>
      <c r="AC325" s="186"/>
    </row>
    <row r="326" spans="1:29" ht="60">
      <c r="A326" s="123">
        <v>30484184</v>
      </c>
      <c r="B326" s="123">
        <v>31</v>
      </c>
      <c r="C326" s="119" t="s">
        <v>29</v>
      </c>
      <c r="D326" s="123" t="s">
        <v>160</v>
      </c>
      <c r="E326" s="117"/>
      <c r="F326" s="118" t="s">
        <v>220</v>
      </c>
      <c r="G326" s="124" t="s">
        <v>677</v>
      </c>
      <c r="H326" s="118" t="s">
        <v>92</v>
      </c>
      <c r="I326" s="272" t="s">
        <v>223</v>
      </c>
      <c r="J326" s="138">
        <v>2018</v>
      </c>
      <c r="K326" s="138" t="s">
        <v>224</v>
      </c>
      <c r="L326" s="164">
        <v>68324</v>
      </c>
      <c r="M326" s="118" t="s">
        <v>187</v>
      </c>
      <c r="N326" s="121" t="s">
        <v>203</v>
      </c>
      <c r="O326" s="170"/>
      <c r="P326" s="134"/>
      <c r="Q326" s="134">
        <f t="shared" si="13"/>
        <v>0</v>
      </c>
      <c r="R326" s="134"/>
      <c r="S326" s="134"/>
      <c r="T326" s="134"/>
      <c r="U326" s="183"/>
      <c r="V326" s="134"/>
      <c r="W326" s="134"/>
      <c r="X326" s="134"/>
      <c r="Y326" s="134"/>
      <c r="Z326" s="174"/>
      <c r="AA326" s="134"/>
      <c r="AB326" s="134"/>
      <c r="AC326" s="134"/>
    </row>
    <row r="327" spans="1:29" ht="36">
      <c r="A327" s="300">
        <v>40005309</v>
      </c>
      <c r="B327" s="119" t="s">
        <v>678</v>
      </c>
      <c r="C327" s="119" t="s">
        <v>29</v>
      </c>
      <c r="D327" s="123" t="s">
        <v>160</v>
      </c>
      <c r="E327" s="260"/>
      <c r="F327" s="118" t="s">
        <v>161</v>
      </c>
      <c r="G327" s="272" t="s">
        <v>679</v>
      </c>
      <c r="H327" s="251" t="s">
        <v>82</v>
      </c>
      <c r="I327" s="272" t="s">
        <v>168</v>
      </c>
      <c r="J327" s="138">
        <v>2023</v>
      </c>
      <c r="K327" s="138">
        <v>13066</v>
      </c>
      <c r="L327" s="172">
        <v>1578355</v>
      </c>
      <c r="M327" s="173" t="s">
        <v>169</v>
      </c>
      <c r="N327" s="121" t="s">
        <v>325</v>
      </c>
      <c r="O327" s="170">
        <v>650000</v>
      </c>
      <c r="P327" s="170">
        <v>194638</v>
      </c>
      <c r="Q327" s="134">
        <f t="shared" si="13"/>
        <v>0</v>
      </c>
      <c r="R327" s="134"/>
      <c r="S327" s="134"/>
      <c r="T327" s="134"/>
      <c r="U327" s="134"/>
      <c r="V327" s="134"/>
      <c r="W327" s="134"/>
      <c r="X327" s="134"/>
      <c r="Y327" s="134"/>
      <c r="Z327" s="134"/>
      <c r="AA327" s="134"/>
      <c r="AB327" s="134"/>
      <c r="AC327" s="134"/>
    </row>
    <row r="328" spans="1:29" ht="36">
      <c r="A328" s="123">
        <v>40016628</v>
      </c>
      <c r="B328" s="123">
        <v>31</v>
      </c>
      <c r="C328" s="119" t="s">
        <v>29</v>
      </c>
      <c r="D328" s="123" t="s">
        <v>160</v>
      </c>
      <c r="E328" s="260"/>
      <c r="F328" s="118" t="s">
        <v>161</v>
      </c>
      <c r="G328" s="124" t="s">
        <v>680</v>
      </c>
      <c r="H328" s="118" t="s">
        <v>83</v>
      </c>
      <c r="I328" s="272" t="s">
        <v>207</v>
      </c>
      <c r="J328" s="117">
        <v>2023</v>
      </c>
      <c r="K328" s="117">
        <v>12795</v>
      </c>
      <c r="L328" s="172">
        <v>1130654</v>
      </c>
      <c r="M328" s="118" t="s">
        <v>208</v>
      </c>
      <c r="N328" s="121" t="s">
        <v>730</v>
      </c>
      <c r="O328" s="170">
        <v>1000</v>
      </c>
      <c r="P328" s="134">
        <v>1000</v>
      </c>
      <c r="Q328" s="134">
        <f t="shared" si="13"/>
        <v>0</v>
      </c>
      <c r="R328" s="134"/>
      <c r="S328" s="134"/>
      <c r="T328" s="134"/>
      <c r="U328" s="134"/>
      <c r="V328" s="134"/>
      <c r="W328" s="134"/>
      <c r="X328" s="134"/>
      <c r="Y328" s="134"/>
      <c r="Z328" s="134"/>
      <c r="AA328" s="134"/>
      <c r="AB328" s="134"/>
      <c r="AC328" s="134"/>
    </row>
    <row r="329" spans="1:29" ht="48">
      <c r="A329" s="123">
        <v>40005349</v>
      </c>
      <c r="B329" s="123">
        <v>31</v>
      </c>
      <c r="C329" s="119" t="s">
        <v>24</v>
      </c>
      <c r="D329" s="123" t="s">
        <v>160</v>
      </c>
      <c r="E329" s="117"/>
      <c r="F329" s="118" t="s">
        <v>161</v>
      </c>
      <c r="G329" s="124" t="s">
        <v>682</v>
      </c>
      <c r="H329" s="118" t="s">
        <v>91</v>
      </c>
      <c r="I329" s="272" t="s">
        <v>683</v>
      </c>
      <c r="J329" s="138">
        <v>2018</v>
      </c>
      <c r="K329" s="138">
        <v>9725</v>
      </c>
      <c r="L329" s="164">
        <v>385466</v>
      </c>
      <c r="M329" s="118" t="s">
        <v>165</v>
      </c>
      <c r="N329" s="121" t="s">
        <v>287</v>
      </c>
      <c r="O329" s="170">
        <v>168152</v>
      </c>
      <c r="P329" s="134"/>
      <c r="Q329" s="134">
        <f t="shared" si="13"/>
        <v>0</v>
      </c>
      <c r="R329" s="134"/>
      <c r="S329" s="134"/>
      <c r="T329" s="134"/>
      <c r="U329" s="183"/>
      <c r="V329" s="134"/>
      <c r="W329" s="134"/>
      <c r="X329" s="134"/>
      <c r="Y329" s="134"/>
      <c r="Z329" s="174"/>
      <c r="AA329" s="134"/>
      <c r="AB329" s="134"/>
      <c r="AC329" s="134"/>
    </row>
    <row r="330" spans="1:29" ht="24">
      <c r="A330" s="123">
        <v>30472085</v>
      </c>
      <c r="B330" s="123">
        <v>22</v>
      </c>
      <c r="C330" s="119">
        <v>11</v>
      </c>
      <c r="D330" s="123" t="s">
        <v>465</v>
      </c>
      <c r="E330" s="338"/>
      <c r="F330" s="118" t="s">
        <v>161</v>
      </c>
      <c r="G330" s="124" t="s">
        <v>684</v>
      </c>
      <c r="H330" s="251" t="s">
        <v>245</v>
      </c>
      <c r="I330" s="272" t="s">
        <v>163</v>
      </c>
      <c r="J330" s="117" t="s">
        <v>245</v>
      </c>
      <c r="K330" s="117" t="s">
        <v>245</v>
      </c>
      <c r="L330" s="340" t="s">
        <v>245</v>
      </c>
      <c r="M330" s="118" t="s">
        <v>174</v>
      </c>
      <c r="N330" s="121" t="s">
        <v>245</v>
      </c>
      <c r="O330" s="339"/>
      <c r="P330" s="134"/>
      <c r="Q330" s="134">
        <f t="shared" si="13"/>
        <v>0</v>
      </c>
      <c r="R330" s="134"/>
      <c r="S330" s="134"/>
      <c r="T330" s="134"/>
      <c r="U330" s="183"/>
      <c r="V330" s="134"/>
      <c r="W330" s="134"/>
      <c r="X330" s="134"/>
      <c r="Y330" s="134"/>
      <c r="Z330" s="134"/>
      <c r="AA330" s="134"/>
      <c r="AB330" s="134"/>
      <c r="AC330" s="134"/>
    </row>
    <row r="331" spans="1:29" ht="24">
      <c r="A331" s="123" t="s">
        <v>242</v>
      </c>
      <c r="B331" s="123">
        <v>29</v>
      </c>
      <c r="C331" s="119" t="s">
        <v>37</v>
      </c>
      <c r="D331" s="123" t="s">
        <v>635</v>
      </c>
      <c r="E331" s="260"/>
      <c r="F331" s="118" t="s">
        <v>161</v>
      </c>
      <c r="G331" s="124" t="s">
        <v>685</v>
      </c>
      <c r="H331" s="251" t="s">
        <v>245</v>
      </c>
      <c r="I331" s="272" t="s">
        <v>242</v>
      </c>
      <c r="J331" s="117" t="s">
        <v>245</v>
      </c>
      <c r="K331" s="117" t="s">
        <v>245</v>
      </c>
      <c r="L331" s="136" t="s">
        <v>245</v>
      </c>
      <c r="M331" s="124" t="s">
        <v>242</v>
      </c>
      <c r="N331" s="121" t="s">
        <v>245</v>
      </c>
      <c r="O331" s="170">
        <v>50518</v>
      </c>
      <c r="P331" s="134"/>
      <c r="Q331" s="134">
        <f t="shared" si="13"/>
        <v>0</v>
      </c>
      <c r="R331" s="134"/>
      <c r="S331" s="134"/>
      <c r="T331" s="134"/>
      <c r="U331" s="134"/>
      <c r="V331" s="134"/>
      <c r="W331" s="134"/>
      <c r="X331" s="134"/>
      <c r="Y331" s="134"/>
      <c r="Z331" s="134"/>
      <c r="AA331" s="134"/>
      <c r="AB331" s="134"/>
      <c r="AC331" s="134"/>
    </row>
    <row r="332" spans="1:29" ht="24">
      <c r="A332" s="123">
        <v>40017776</v>
      </c>
      <c r="B332" s="123">
        <v>31</v>
      </c>
      <c r="C332" s="119" t="s">
        <v>29</v>
      </c>
      <c r="D332" s="123" t="s">
        <v>160</v>
      </c>
      <c r="E332" s="117"/>
      <c r="F332" s="118" t="s">
        <v>161</v>
      </c>
      <c r="G332" s="124" t="s">
        <v>686</v>
      </c>
      <c r="H332" s="118" t="s">
        <v>99</v>
      </c>
      <c r="I332" s="272" t="s">
        <v>180</v>
      </c>
      <c r="J332" s="117">
        <v>2021</v>
      </c>
      <c r="K332" s="117">
        <v>11216</v>
      </c>
      <c r="L332" s="164">
        <v>689354</v>
      </c>
      <c r="M332" s="173" t="s">
        <v>263</v>
      </c>
      <c r="N332" s="121" t="s">
        <v>185</v>
      </c>
      <c r="O332" s="170">
        <v>392638</v>
      </c>
      <c r="P332" s="134"/>
      <c r="Q332" s="134">
        <f t="shared" si="13"/>
        <v>0</v>
      </c>
      <c r="R332" s="134"/>
      <c r="S332" s="134"/>
      <c r="T332" s="134"/>
      <c r="U332" s="181"/>
      <c r="V332" s="134"/>
      <c r="W332" s="134"/>
      <c r="X332" s="134"/>
      <c r="Y332" s="134"/>
      <c r="Z332" s="174"/>
      <c r="AA332" s="134"/>
      <c r="AB332" s="134"/>
      <c r="AC332" s="134"/>
    </row>
    <row r="333" spans="1:29" ht="36">
      <c r="A333" s="123">
        <v>30147622</v>
      </c>
      <c r="B333" s="117">
        <v>31</v>
      </c>
      <c r="C333" s="163" t="s">
        <v>29</v>
      </c>
      <c r="D333" s="123" t="s">
        <v>160</v>
      </c>
      <c r="E333" s="117"/>
      <c r="F333" s="118" t="s">
        <v>161</v>
      </c>
      <c r="G333" s="124" t="s">
        <v>687</v>
      </c>
      <c r="H333" s="118" t="s">
        <v>82</v>
      </c>
      <c r="I333" s="272" t="s">
        <v>168</v>
      </c>
      <c r="J333" s="117">
        <v>2018</v>
      </c>
      <c r="K333" s="117">
        <v>9636</v>
      </c>
      <c r="L333" s="172">
        <v>851434</v>
      </c>
      <c r="M333" s="172" t="s">
        <v>169</v>
      </c>
      <c r="N333" s="121" t="s">
        <v>178</v>
      </c>
      <c r="O333" s="170">
        <v>642827</v>
      </c>
      <c r="P333" s="134"/>
      <c r="Q333" s="134">
        <f t="shared" si="13"/>
        <v>0</v>
      </c>
      <c r="R333" s="134"/>
      <c r="S333" s="134"/>
      <c r="T333" s="134"/>
      <c r="U333" s="181"/>
      <c r="V333" s="134"/>
      <c r="W333" s="134"/>
      <c r="X333" s="134"/>
      <c r="Y333" s="134"/>
      <c r="Z333" s="174"/>
      <c r="AA333" s="134"/>
      <c r="AB333" s="134"/>
      <c r="AC333" s="134"/>
    </row>
    <row r="334" spans="1:29" ht="36">
      <c r="A334" s="310">
        <v>30107747</v>
      </c>
      <c r="B334" s="117">
        <v>31</v>
      </c>
      <c r="C334" s="119" t="s">
        <v>29</v>
      </c>
      <c r="D334" s="123" t="s">
        <v>160</v>
      </c>
      <c r="E334" s="119"/>
      <c r="F334" s="118" t="s">
        <v>161</v>
      </c>
      <c r="G334" s="272" t="s">
        <v>688</v>
      </c>
      <c r="H334" s="251" t="s">
        <v>83</v>
      </c>
      <c r="I334" s="298" t="s">
        <v>168</v>
      </c>
      <c r="J334" s="117">
        <v>2023</v>
      </c>
      <c r="K334" s="117">
        <v>13598</v>
      </c>
      <c r="L334" s="172">
        <v>9010469</v>
      </c>
      <c r="M334" s="118" t="s">
        <v>174</v>
      </c>
      <c r="N334" s="121" t="s">
        <v>226</v>
      </c>
      <c r="O334" s="170">
        <v>500000</v>
      </c>
      <c r="P334" s="134">
        <v>485662</v>
      </c>
      <c r="Q334" s="134">
        <f t="shared" si="13"/>
        <v>0</v>
      </c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</row>
    <row r="335" spans="1:29" ht="36">
      <c r="A335" s="300">
        <v>30127968</v>
      </c>
      <c r="B335" s="119" t="s">
        <v>678</v>
      </c>
      <c r="C335" s="119" t="s">
        <v>29</v>
      </c>
      <c r="D335" s="123" t="s">
        <v>160</v>
      </c>
      <c r="E335" s="260"/>
      <c r="F335" s="118" t="s">
        <v>161</v>
      </c>
      <c r="G335" s="272" t="s">
        <v>689</v>
      </c>
      <c r="H335" s="251" t="s">
        <v>91</v>
      </c>
      <c r="I335" s="272" t="s">
        <v>171</v>
      </c>
      <c r="J335" s="117">
        <v>2023</v>
      </c>
      <c r="K335" s="117">
        <v>13066</v>
      </c>
      <c r="L335" s="172">
        <v>257336</v>
      </c>
      <c r="M335" s="173" t="s">
        <v>690</v>
      </c>
      <c r="N335" s="121" t="s">
        <v>325</v>
      </c>
      <c r="O335" s="170">
        <v>116568</v>
      </c>
      <c r="P335" s="170">
        <v>136688</v>
      </c>
      <c r="Q335" s="134">
        <f t="shared" si="13"/>
        <v>0</v>
      </c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</row>
    <row r="336" spans="1:29" ht="36">
      <c r="A336" s="300">
        <v>40047608</v>
      </c>
      <c r="B336" s="119" t="s">
        <v>691</v>
      </c>
      <c r="C336" s="119" t="s">
        <v>26</v>
      </c>
      <c r="D336" s="123" t="s">
        <v>312</v>
      </c>
      <c r="E336" s="260"/>
      <c r="F336" s="118" t="s">
        <v>161</v>
      </c>
      <c r="G336" s="272" t="s">
        <v>692</v>
      </c>
      <c r="H336" s="251" t="s">
        <v>103</v>
      </c>
      <c r="I336" s="272" t="s">
        <v>435</v>
      </c>
      <c r="J336" s="117">
        <v>2022</v>
      </c>
      <c r="K336" s="117">
        <v>12705</v>
      </c>
      <c r="L336" s="172">
        <v>199460</v>
      </c>
      <c r="M336" s="118" t="s">
        <v>379</v>
      </c>
      <c r="N336" s="121" t="s">
        <v>354</v>
      </c>
      <c r="O336" s="170"/>
      <c r="P336" s="170"/>
      <c r="Q336" s="134">
        <f t="shared" ref="Q336:Q381" si="14">SUM(R336:AC336)</f>
        <v>0</v>
      </c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</row>
    <row r="337" spans="1:29" ht="24">
      <c r="A337" s="123">
        <v>40049541</v>
      </c>
      <c r="B337" s="123">
        <v>24</v>
      </c>
      <c r="C337" s="119" t="s">
        <v>26</v>
      </c>
      <c r="D337" s="123" t="s">
        <v>473</v>
      </c>
      <c r="E337" s="260"/>
      <c r="F337" s="118" t="s">
        <v>161</v>
      </c>
      <c r="G337" s="124" t="s">
        <v>693</v>
      </c>
      <c r="H337" s="118" t="s">
        <v>82</v>
      </c>
      <c r="I337" s="272" t="s">
        <v>163</v>
      </c>
      <c r="J337" s="117">
        <v>2023</v>
      </c>
      <c r="K337" s="117">
        <v>12881</v>
      </c>
      <c r="L337" s="172">
        <v>530481</v>
      </c>
      <c r="M337" s="124" t="s">
        <v>169</v>
      </c>
      <c r="N337" s="121" t="s">
        <v>161</v>
      </c>
      <c r="O337" s="170">
        <f>372841+P337</f>
        <v>557328</v>
      </c>
      <c r="P337" s="170">
        <v>184487</v>
      </c>
      <c r="Q337" s="134">
        <f t="shared" si="14"/>
        <v>0</v>
      </c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</row>
    <row r="338" spans="1:29" ht="24">
      <c r="A338" s="123">
        <v>40049729</v>
      </c>
      <c r="B338" s="123">
        <v>24</v>
      </c>
      <c r="C338" s="119" t="s">
        <v>26</v>
      </c>
      <c r="D338" s="123" t="s">
        <v>473</v>
      </c>
      <c r="E338" s="260"/>
      <c r="F338" s="118" t="s">
        <v>161</v>
      </c>
      <c r="G338" s="124" t="s">
        <v>694</v>
      </c>
      <c r="H338" s="118" t="s">
        <v>97</v>
      </c>
      <c r="I338" s="272" t="s">
        <v>163</v>
      </c>
      <c r="J338" s="117">
        <v>2023</v>
      </c>
      <c r="K338" s="117">
        <v>12881</v>
      </c>
      <c r="L338" s="172">
        <v>834329</v>
      </c>
      <c r="M338" s="118" t="s">
        <v>210</v>
      </c>
      <c r="N338" s="121" t="s">
        <v>161</v>
      </c>
      <c r="O338" s="170">
        <f>566715+P338</f>
        <v>929812</v>
      </c>
      <c r="P338" s="170">
        <v>363097</v>
      </c>
      <c r="Q338" s="134">
        <f t="shared" si="14"/>
        <v>0</v>
      </c>
      <c r="R338" s="134"/>
      <c r="S338" s="134"/>
      <c r="T338" s="134"/>
      <c r="U338" s="134"/>
      <c r="V338" s="134"/>
      <c r="W338" s="134"/>
      <c r="X338" s="134"/>
      <c r="Y338" s="134"/>
      <c r="Z338" s="134"/>
      <c r="AA338" s="134"/>
      <c r="AB338" s="134"/>
      <c r="AC338" s="134"/>
    </row>
    <row r="339" spans="1:29" ht="24">
      <c r="A339" s="123">
        <v>40049676</v>
      </c>
      <c r="B339" s="123">
        <v>24</v>
      </c>
      <c r="C339" s="119" t="s">
        <v>26</v>
      </c>
      <c r="D339" s="123" t="s">
        <v>473</v>
      </c>
      <c r="E339" s="260"/>
      <c r="F339" s="118" t="s">
        <v>161</v>
      </c>
      <c r="G339" s="124" t="s">
        <v>695</v>
      </c>
      <c r="H339" s="118" t="s">
        <v>90</v>
      </c>
      <c r="I339" s="272" t="s">
        <v>163</v>
      </c>
      <c r="J339" s="117">
        <v>2023</v>
      </c>
      <c r="K339" s="117">
        <v>12881</v>
      </c>
      <c r="L339" s="172">
        <v>668021</v>
      </c>
      <c r="M339" s="124" t="s">
        <v>195</v>
      </c>
      <c r="N339" s="121" t="s">
        <v>161</v>
      </c>
      <c r="O339" s="170">
        <f>596553+P339</f>
        <v>844257</v>
      </c>
      <c r="P339" s="170">
        <v>247704</v>
      </c>
      <c r="Q339" s="134">
        <f t="shared" si="14"/>
        <v>103543.101</v>
      </c>
      <c r="R339" s="134"/>
      <c r="S339" s="134"/>
      <c r="T339" s="134"/>
      <c r="U339" s="134"/>
      <c r="V339" s="134"/>
      <c r="W339" s="134"/>
      <c r="X339" s="134">
        <v>54219.834999999999</v>
      </c>
      <c r="Y339" s="134">
        <v>49323.266000000003</v>
      </c>
      <c r="Z339" s="134"/>
      <c r="AA339" s="134"/>
      <c r="AB339" s="174"/>
      <c r="AC339" s="134"/>
    </row>
    <row r="340" spans="1:29" ht="24">
      <c r="A340" s="123">
        <v>40049708</v>
      </c>
      <c r="B340" s="123">
        <v>24</v>
      </c>
      <c r="C340" s="119" t="s">
        <v>26</v>
      </c>
      <c r="D340" s="123" t="s">
        <v>473</v>
      </c>
      <c r="E340" s="260"/>
      <c r="F340" s="118" t="s">
        <v>161</v>
      </c>
      <c r="G340" s="124" t="s">
        <v>696</v>
      </c>
      <c r="H340" s="118" t="s">
        <v>84</v>
      </c>
      <c r="I340" s="272" t="s">
        <v>163</v>
      </c>
      <c r="J340" s="117">
        <v>2023</v>
      </c>
      <c r="K340" s="117">
        <v>12881</v>
      </c>
      <c r="L340" s="172">
        <v>483942</v>
      </c>
      <c r="M340" s="124" t="s">
        <v>184</v>
      </c>
      <c r="N340" s="121" t="s">
        <v>161</v>
      </c>
      <c r="O340" s="170">
        <f>407330+P340</f>
        <v>679188</v>
      </c>
      <c r="P340" s="170">
        <v>271858</v>
      </c>
      <c r="Q340" s="134">
        <f t="shared" si="14"/>
        <v>0</v>
      </c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</row>
    <row r="341" spans="1:29" ht="24">
      <c r="A341" s="123">
        <v>40049761</v>
      </c>
      <c r="B341" s="123">
        <v>24</v>
      </c>
      <c r="C341" s="119" t="s">
        <v>26</v>
      </c>
      <c r="D341" s="123" t="s">
        <v>473</v>
      </c>
      <c r="E341" s="260"/>
      <c r="F341" s="118" t="s">
        <v>161</v>
      </c>
      <c r="G341" s="124" t="s">
        <v>697</v>
      </c>
      <c r="H341" s="118" t="s">
        <v>99</v>
      </c>
      <c r="I341" s="272" t="s">
        <v>163</v>
      </c>
      <c r="J341" s="117">
        <v>2023</v>
      </c>
      <c r="K341" s="117">
        <v>12881</v>
      </c>
      <c r="L341" s="172">
        <v>641430</v>
      </c>
      <c r="M341" s="118" t="s">
        <v>263</v>
      </c>
      <c r="N341" s="121" t="s">
        <v>161</v>
      </c>
      <c r="O341" s="170">
        <f>491310+P341</f>
        <v>749979</v>
      </c>
      <c r="P341" s="170">
        <v>258669</v>
      </c>
      <c r="Q341" s="134">
        <f t="shared" si="14"/>
        <v>106645.058</v>
      </c>
      <c r="R341" s="134"/>
      <c r="S341" s="134"/>
      <c r="T341" s="134"/>
      <c r="U341" s="134"/>
      <c r="V341" s="134">
        <v>4235.2759999999998</v>
      </c>
      <c r="W341" s="134"/>
      <c r="X341" s="134">
        <v>102409.78200000001</v>
      </c>
      <c r="Y341" s="134"/>
      <c r="Z341" s="134"/>
      <c r="AA341" s="134"/>
      <c r="AB341" s="174"/>
      <c r="AC341" s="134"/>
    </row>
    <row r="342" spans="1:29" ht="24">
      <c r="A342" s="123">
        <v>40049689</v>
      </c>
      <c r="B342" s="123">
        <v>24</v>
      </c>
      <c r="C342" s="119" t="s">
        <v>26</v>
      </c>
      <c r="D342" s="123" t="s">
        <v>473</v>
      </c>
      <c r="E342" s="260"/>
      <c r="F342" s="118" t="s">
        <v>161</v>
      </c>
      <c r="G342" s="124" t="s">
        <v>698</v>
      </c>
      <c r="H342" s="118" t="s">
        <v>85</v>
      </c>
      <c r="I342" s="272" t="s">
        <v>163</v>
      </c>
      <c r="J342" s="117">
        <v>2023</v>
      </c>
      <c r="K342" s="117">
        <v>12881</v>
      </c>
      <c r="L342" s="172">
        <v>776918</v>
      </c>
      <c r="M342" s="124" t="s">
        <v>279</v>
      </c>
      <c r="N342" s="121" t="s">
        <v>161</v>
      </c>
      <c r="O342" s="170">
        <f>459104+P342</f>
        <v>785988</v>
      </c>
      <c r="P342" s="170">
        <v>326884</v>
      </c>
      <c r="Q342" s="134">
        <f t="shared" si="14"/>
        <v>249284.30000000002</v>
      </c>
      <c r="R342" s="134"/>
      <c r="S342" s="134"/>
      <c r="T342" s="134"/>
      <c r="U342" s="134"/>
      <c r="V342" s="134"/>
      <c r="W342" s="134"/>
      <c r="X342" s="134">
        <v>33541.637999999999</v>
      </c>
      <c r="Y342" s="134">
        <v>215742.66200000001</v>
      </c>
      <c r="Z342" s="134"/>
      <c r="AA342" s="134"/>
      <c r="AB342" s="174"/>
      <c r="AC342" s="134"/>
    </row>
    <row r="343" spans="1:29" ht="24">
      <c r="A343" s="123">
        <v>40049573</v>
      </c>
      <c r="B343" s="123">
        <v>24</v>
      </c>
      <c r="C343" s="119" t="s">
        <v>26</v>
      </c>
      <c r="D343" s="123" t="s">
        <v>473</v>
      </c>
      <c r="E343" s="260"/>
      <c r="F343" s="118" t="s">
        <v>161</v>
      </c>
      <c r="G343" s="124" t="s">
        <v>699</v>
      </c>
      <c r="H343" s="118" t="s">
        <v>83</v>
      </c>
      <c r="I343" s="272" t="s">
        <v>163</v>
      </c>
      <c r="J343" s="117">
        <v>2023</v>
      </c>
      <c r="K343" s="117">
        <v>12881</v>
      </c>
      <c r="L343" s="172">
        <v>745354</v>
      </c>
      <c r="M343" s="124" t="s">
        <v>174</v>
      </c>
      <c r="N343" s="121" t="s">
        <v>161</v>
      </c>
      <c r="O343" s="170">
        <f>407330+P343</f>
        <v>668743</v>
      </c>
      <c r="P343" s="170">
        <v>261413</v>
      </c>
      <c r="Q343" s="134">
        <f t="shared" si="14"/>
        <v>0</v>
      </c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74"/>
      <c r="AC343" s="134"/>
    </row>
    <row r="344" spans="1:29" ht="24">
      <c r="A344" s="123">
        <v>40049774</v>
      </c>
      <c r="B344" s="123">
        <v>24</v>
      </c>
      <c r="C344" s="119" t="s">
        <v>26</v>
      </c>
      <c r="D344" s="123" t="s">
        <v>473</v>
      </c>
      <c r="E344" s="260"/>
      <c r="F344" s="118" t="s">
        <v>161</v>
      </c>
      <c r="G344" s="124" t="s">
        <v>700</v>
      </c>
      <c r="H344" s="251" t="s">
        <v>98</v>
      </c>
      <c r="I344" s="272" t="s">
        <v>163</v>
      </c>
      <c r="J344" s="117">
        <v>2023</v>
      </c>
      <c r="K344" s="117">
        <v>12881</v>
      </c>
      <c r="L344" s="172">
        <v>571191</v>
      </c>
      <c r="M344" s="118" t="s">
        <v>177</v>
      </c>
      <c r="N344" s="121" t="s">
        <v>161</v>
      </c>
      <c r="O344" s="170">
        <f>486832+P344</f>
        <v>684244</v>
      </c>
      <c r="P344" s="170">
        <v>197412</v>
      </c>
      <c r="Q344" s="134">
        <f t="shared" si="14"/>
        <v>59106.428999999996</v>
      </c>
      <c r="R344" s="134"/>
      <c r="S344" s="134"/>
      <c r="T344" s="134"/>
      <c r="U344" s="134"/>
      <c r="V344" s="134"/>
      <c r="W344" s="134"/>
      <c r="X344" s="134"/>
      <c r="Y344" s="134">
        <v>59106.428999999996</v>
      </c>
      <c r="Z344" s="134"/>
      <c r="AA344" s="134"/>
      <c r="AB344" s="174"/>
      <c r="AC344" s="134"/>
    </row>
    <row r="345" spans="1:29" ht="24">
      <c r="A345" s="123">
        <v>40049721</v>
      </c>
      <c r="B345" s="123">
        <v>24</v>
      </c>
      <c r="C345" s="119" t="s">
        <v>26</v>
      </c>
      <c r="D345" s="123" t="s">
        <v>473</v>
      </c>
      <c r="E345" s="260"/>
      <c r="F345" s="118" t="s">
        <v>161</v>
      </c>
      <c r="G345" s="124" t="s">
        <v>701</v>
      </c>
      <c r="H345" s="118" t="s">
        <v>92</v>
      </c>
      <c r="I345" s="272" t="s">
        <v>163</v>
      </c>
      <c r="J345" s="117">
        <v>2023</v>
      </c>
      <c r="K345" s="117">
        <v>12881</v>
      </c>
      <c r="L345" s="172">
        <v>668471</v>
      </c>
      <c r="M345" s="124" t="s">
        <v>187</v>
      </c>
      <c r="N345" s="121" t="s">
        <v>161</v>
      </c>
      <c r="O345" s="170">
        <f>602012+P345</f>
        <v>841756</v>
      </c>
      <c r="P345" s="170">
        <v>239744</v>
      </c>
      <c r="Q345" s="134">
        <f t="shared" si="14"/>
        <v>0</v>
      </c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</row>
    <row r="346" spans="1:29" ht="24">
      <c r="A346" s="123">
        <v>40049753</v>
      </c>
      <c r="B346" s="123">
        <v>24</v>
      </c>
      <c r="C346" s="119" t="s">
        <v>26</v>
      </c>
      <c r="D346" s="123" t="s">
        <v>473</v>
      </c>
      <c r="E346" s="260"/>
      <c r="F346" s="118" t="s">
        <v>161</v>
      </c>
      <c r="G346" s="124" t="s">
        <v>702</v>
      </c>
      <c r="H346" s="118" t="s">
        <v>91</v>
      </c>
      <c r="I346" s="272" t="s">
        <v>163</v>
      </c>
      <c r="J346" s="117">
        <v>2023</v>
      </c>
      <c r="K346" s="117">
        <v>12881</v>
      </c>
      <c r="L346" s="172">
        <v>697741</v>
      </c>
      <c r="M346" s="124" t="s">
        <v>165</v>
      </c>
      <c r="N346" s="121" t="s">
        <v>161</v>
      </c>
      <c r="O346" s="170">
        <f>606908+P346</f>
        <v>870789</v>
      </c>
      <c r="P346" s="170">
        <v>263881</v>
      </c>
      <c r="Q346" s="134">
        <f t="shared" si="14"/>
        <v>126652.061</v>
      </c>
      <c r="R346" s="134"/>
      <c r="S346" s="134"/>
      <c r="T346" s="134"/>
      <c r="U346" s="134"/>
      <c r="V346" s="134"/>
      <c r="W346" s="134"/>
      <c r="X346" s="134"/>
      <c r="Y346" s="134">
        <v>126652.061</v>
      </c>
      <c r="Z346" s="134"/>
      <c r="AA346" s="134"/>
      <c r="AB346" s="134"/>
      <c r="AC346" s="134"/>
    </row>
    <row r="347" spans="1:29" ht="24">
      <c r="A347" s="123">
        <v>40049777</v>
      </c>
      <c r="B347" s="123">
        <v>24</v>
      </c>
      <c r="C347" s="119" t="s">
        <v>26</v>
      </c>
      <c r="D347" s="123" t="s">
        <v>473</v>
      </c>
      <c r="E347" s="260"/>
      <c r="F347" s="118" t="s">
        <v>161</v>
      </c>
      <c r="G347" s="124" t="s">
        <v>703</v>
      </c>
      <c r="H347" s="118" t="s">
        <v>86</v>
      </c>
      <c r="I347" s="272" t="s">
        <v>163</v>
      </c>
      <c r="J347" s="117">
        <v>2023</v>
      </c>
      <c r="K347" s="117">
        <v>12881</v>
      </c>
      <c r="L347" s="172">
        <v>612143</v>
      </c>
      <c r="M347" s="124" t="s">
        <v>229</v>
      </c>
      <c r="N347" s="121" t="s">
        <v>161</v>
      </c>
      <c r="O347" s="170">
        <f>422505+P347</f>
        <v>626917</v>
      </c>
      <c r="P347" s="170">
        <v>204412</v>
      </c>
      <c r="Q347" s="134">
        <f t="shared" si="14"/>
        <v>0</v>
      </c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</row>
    <row r="348" spans="1:29" ht="24">
      <c r="A348" s="123">
        <v>40049687</v>
      </c>
      <c r="B348" s="123">
        <v>24</v>
      </c>
      <c r="C348" s="119" t="s">
        <v>26</v>
      </c>
      <c r="D348" s="123" t="s">
        <v>473</v>
      </c>
      <c r="E348" s="260"/>
      <c r="F348" s="118" t="s">
        <v>161</v>
      </c>
      <c r="G348" s="124" t="s">
        <v>704</v>
      </c>
      <c r="H348" s="118" t="s">
        <v>93</v>
      </c>
      <c r="I348" s="272" t="s">
        <v>163</v>
      </c>
      <c r="J348" s="117">
        <v>2023</v>
      </c>
      <c r="K348" s="117">
        <v>12881</v>
      </c>
      <c r="L348" s="172">
        <v>720902</v>
      </c>
      <c r="M348" s="124" t="s">
        <v>190</v>
      </c>
      <c r="N348" s="121" t="s">
        <v>161</v>
      </c>
      <c r="O348" s="170">
        <f>596994+P348</f>
        <v>896807</v>
      </c>
      <c r="P348" s="170">
        <v>299813</v>
      </c>
      <c r="Q348" s="134">
        <f t="shared" si="14"/>
        <v>140299.69899999999</v>
      </c>
      <c r="R348" s="134"/>
      <c r="S348" s="134"/>
      <c r="T348" s="134"/>
      <c r="U348" s="134"/>
      <c r="V348" s="134"/>
      <c r="W348" s="134"/>
      <c r="X348" s="134"/>
      <c r="Y348" s="134">
        <v>140299.69899999999</v>
      </c>
      <c r="Z348" s="134"/>
      <c r="AA348" s="134"/>
      <c r="AB348" s="134"/>
      <c r="AC348" s="134"/>
    </row>
    <row r="349" spans="1:29" ht="24">
      <c r="A349" s="123">
        <v>40049628</v>
      </c>
      <c r="B349" s="123">
        <v>24</v>
      </c>
      <c r="C349" s="119" t="s">
        <v>26</v>
      </c>
      <c r="D349" s="123" t="s">
        <v>473</v>
      </c>
      <c r="E349" s="260"/>
      <c r="F349" s="118" t="s">
        <v>161</v>
      </c>
      <c r="G349" s="124" t="s">
        <v>705</v>
      </c>
      <c r="H349" s="118" t="s">
        <v>94</v>
      </c>
      <c r="I349" s="272" t="s">
        <v>163</v>
      </c>
      <c r="J349" s="117">
        <v>2023</v>
      </c>
      <c r="K349" s="117">
        <v>12881</v>
      </c>
      <c r="L349" s="172">
        <v>849979</v>
      </c>
      <c r="M349" s="124" t="s">
        <v>256</v>
      </c>
      <c r="N349" s="121" t="s">
        <v>161</v>
      </c>
      <c r="O349" s="170">
        <f>645691+P349</f>
        <v>992576</v>
      </c>
      <c r="P349" s="170">
        <v>346885</v>
      </c>
      <c r="Q349" s="134">
        <f t="shared" si="14"/>
        <v>175336.07500000001</v>
      </c>
      <c r="R349" s="134"/>
      <c r="S349" s="134"/>
      <c r="T349" s="134"/>
      <c r="U349" s="134"/>
      <c r="V349" s="134"/>
      <c r="W349" s="134"/>
      <c r="X349" s="134"/>
      <c r="Y349" s="134">
        <v>175336.07500000001</v>
      </c>
      <c r="Z349" s="134"/>
      <c r="AA349" s="134"/>
      <c r="AB349" s="134"/>
      <c r="AC349" s="134"/>
    </row>
    <row r="350" spans="1:29" ht="24">
      <c r="A350" s="123">
        <v>40049769</v>
      </c>
      <c r="B350" s="123">
        <v>24</v>
      </c>
      <c r="C350" s="119" t="s">
        <v>26</v>
      </c>
      <c r="D350" s="123" t="s">
        <v>473</v>
      </c>
      <c r="E350" s="260"/>
      <c r="F350" s="118" t="s">
        <v>161</v>
      </c>
      <c r="G350" s="124" t="s">
        <v>706</v>
      </c>
      <c r="H350" s="118" t="s">
        <v>100</v>
      </c>
      <c r="I350" s="272" t="s">
        <v>163</v>
      </c>
      <c r="J350" s="117">
        <v>2023</v>
      </c>
      <c r="K350" s="117">
        <v>12881</v>
      </c>
      <c r="L350" s="172">
        <v>655670</v>
      </c>
      <c r="M350" s="118" t="s">
        <v>233</v>
      </c>
      <c r="N350" s="121" t="s">
        <v>161</v>
      </c>
      <c r="O350" s="170">
        <f>506940+P350</f>
        <v>761651</v>
      </c>
      <c r="P350" s="170">
        <v>254711</v>
      </c>
      <c r="Q350" s="134">
        <f t="shared" si="14"/>
        <v>0</v>
      </c>
      <c r="R350" s="134"/>
      <c r="S350" s="134"/>
      <c r="T350" s="134"/>
      <c r="U350" s="134"/>
      <c r="V350" s="134"/>
      <c r="W350" s="134"/>
      <c r="X350" s="134"/>
      <c r="Y350" s="134"/>
      <c r="Z350" s="134"/>
      <c r="AA350" s="134"/>
      <c r="AB350" s="134"/>
      <c r="AC350" s="134"/>
    </row>
    <row r="351" spans="1:29" ht="24">
      <c r="A351" s="123">
        <v>40049384</v>
      </c>
      <c r="B351" s="123">
        <v>24</v>
      </c>
      <c r="C351" s="119" t="s">
        <v>26</v>
      </c>
      <c r="D351" s="123" t="s">
        <v>473</v>
      </c>
      <c r="E351" s="260"/>
      <c r="F351" s="118" t="s">
        <v>161</v>
      </c>
      <c r="G351" s="124" t="s">
        <v>707</v>
      </c>
      <c r="H351" s="118" t="s">
        <v>87</v>
      </c>
      <c r="I351" s="272" t="s">
        <v>163</v>
      </c>
      <c r="J351" s="117">
        <v>2023</v>
      </c>
      <c r="K351" s="117">
        <v>12881</v>
      </c>
      <c r="L351" s="172">
        <v>597887</v>
      </c>
      <c r="M351" s="124" t="s">
        <v>253</v>
      </c>
      <c r="N351" s="121" t="s">
        <v>161</v>
      </c>
      <c r="O351" s="170">
        <f>397342+P351</f>
        <v>618946</v>
      </c>
      <c r="P351" s="170">
        <v>221604</v>
      </c>
      <c r="Q351" s="134">
        <f t="shared" si="14"/>
        <v>122736.942</v>
      </c>
      <c r="R351" s="134"/>
      <c r="S351" s="134"/>
      <c r="T351" s="134"/>
      <c r="U351" s="134"/>
      <c r="V351" s="134"/>
      <c r="W351" s="134"/>
      <c r="X351" s="134"/>
      <c r="Y351" s="134">
        <v>122736.942</v>
      </c>
      <c r="Z351" s="134"/>
      <c r="AA351" s="134"/>
      <c r="AB351" s="174"/>
      <c r="AC351" s="134"/>
    </row>
    <row r="352" spans="1:29" ht="24">
      <c r="A352" s="308">
        <v>40044739</v>
      </c>
      <c r="B352" s="117">
        <v>29</v>
      </c>
      <c r="C352" s="119" t="s">
        <v>26</v>
      </c>
      <c r="D352" s="123" t="s">
        <v>332</v>
      </c>
      <c r="E352" s="119"/>
      <c r="F352" s="118" t="s">
        <v>161</v>
      </c>
      <c r="G352" s="272" t="s">
        <v>708</v>
      </c>
      <c r="H352" s="251" t="s">
        <v>87</v>
      </c>
      <c r="I352" s="124" t="s">
        <v>173</v>
      </c>
      <c r="J352" s="117">
        <v>2024</v>
      </c>
      <c r="K352" s="117">
        <v>13835</v>
      </c>
      <c r="L352" s="172">
        <v>89607</v>
      </c>
      <c r="M352" s="118" t="s">
        <v>340</v>
      </c>
      <c r="N352" s="121" t="s">
        <v>178</v>
      </c>
      <c r="O352" s="170"/>
      <c r="P352" s="134">
        <v>43451</v>
      </c>
      <c r="Q352" s="134">
        <f t="shared" si="14"/>
        <v>0</v>
      </c>
      <c r="R352" s="134"/>
      <c r="S352" s="134"/>
      <c r="T352" s="134"/>
      <c r="U352" s="134"/>
      <c r="V352" s="134"/>
      <c r="W352" s="134"/>
      <c r="X352" s="134"/>
      <c r="Y352" s="134"/>
      <c r="Z352" s="134"/>
      <c r="AA352" s="134"/>
      <c r="AB352" s="134"/>
      <c r="AC352" s="134"/>
    </row>
    <row r="353" spans="1:29" ht="36">
      <c r="A353" s="300">
        <v>40048762</v>
      </c>
      <c r="B353" s="123">
        <v>29</v>
      </c>
      <c r="C353" s="119" t="s">
        <v>26</v>
      </c>
      <c r="D353" s="119" t="s">
        <v>332</v>
      </c>
      <c r="E353" s="117"/>
      <c r="F353" s="118" t="s">
        <v>161</v>
      </c>
      <c r="G353" s="272" t="s">
        <v>709</v>
      </c>
      <c r="H353" s="118" t="s">
        <v>83</v>
      </c>
      <c r="I353" s="272" t="s">
        <v>173</v>
      </c>
      <c r="J353" s="117">
        <v>2023</v>
      </c>
      <c r="K353" s="117">
        <v>13202</v>
      </c>
      <c r="L353" s="172">
        <v>164425</v>
      </c>
      <c r="M353" s="118" t="s">
        <v>199</v>
      </c>
      <c r="N353" s="121" t="s">
        <v>178</v>
      </c>
      <c r="O353" s="170">
        <v>8865</v>
      </c>
      <c r="P353" s="170">
        <v>16443</v>
      </c>
      <c r="Q353" s="134">
        <f t="shared" si="14"/>
        <v>0</v>
      </c>
      <c r="R353" s="134"/>
      <c r="S353" s="134"/>
      <c r="T353" s="134"/>
      <c r="U353" s="134"/>
      <c r="V353" s="134"/>
      <c r="W353" s="134"/>
      <c r="X353" s="134"/>
      <c r="Y353" s="134"/>
      <c r="Z353" s="134"/>
      <c r="AA353" s="134"/>
      <c r="AB353" s="134"/>
      <c r="AC353" s="134"/>
    </row>
    <row r="354" spans="1:29" ht="36">
      <c r="A354" s="300">
        <v>30486611</v>
      </c>
      <c r="B354" s="119" t="s">
        <v>678</v>
      </c>
      <c r="C354" s="119" t="s">
        <v>29</v>
      </c>
      <c r="D354" s="123" t="s">
        <v>160</v>
      </c>
      <c r="E354" s="260"/>
      <c r="F354" s="118" t="s">
        <v>161</v>
      </c>
      <c r="G354" s="272" t="s">
        <v>710</v>
      </c>
      <c r="H354" s="251" t="s">
        <v>100</v>
      </c>
      <c r="I354" s="272" t="s">
        <v>176</v>
      </c>
      <c r="J354" s="117">
        <v>2023</v>
      </c>
      <c r="K354" s="117">
        <v>13145</v>
      </c>
      <c r="L354" s="172">
        <v>929693</v>
      </c>
      <c r="M354" s="173" t="s">
        <v>233</v>
      </c>
      <c r="N354" s="121" t="s">
        <v>161</v>
      </c>
      <c r="O354" s="170">
        <v>827123</v>
      </c>
      <c r="P354" s="170">
        <v>153383</v>
      </c>
      <c r="Q354" s="134">
        <f t="shared" si="14"/>
        <v>144135.45800000001</v>
      </c>
      <c r="R354" s="134"/>
      <c r="S354" s="134"/>
      <c r="T354" s="134"/>
      <c r="U354" s="134"/>
      <c r="V354" s="134"/>
      <c r="W354" s="134"/>
      <c r="X354" s="134">
        <v>4640</v>
      </c>
      <c r="Y354" s="134"/>
      <c r="Z354" s="134">
        <v>101285.63800000001</v>
      </c>
      <c r="AA354" s="134">
        <v>38209.82</v>
      </c>
      <c r="AB354" s="134"/>
      <c r="AC354" s="134"/>
    </row>
    <row r="355" spans="1:29" ht="36">
      <c r="A355" s="300">
        <v>40045668</v>
      </c>
      <c r="B355" s="119" t="s">
        <v>629</v>
      </c>
      <c r="C355" s="119" t="s">
        <v>26</v>
      </c>
      <c r="D355" s="123" t="s">
        <v>332</v>
      </c>
      <c r="E355" s="260"/>
      <c r="F355" s="118" t="s">
        <v>161</v>
      </c>
      <c r="G355" s="272" t="s">
        <v>711</v>
      </c>
      <c r="H355" s="251" t="s">
        <v>103</v>
      </c>
      <c r="I355" s="272" t="s">
        <v>176</v>
      </c>
      <c r="J355" s="117">
        <v>2023</v>
      </c>
      <c r="K355" s="117">
        <v>13145</v>
      </c>
      <c r="L355" s="172">
        <v>313034</v>
      </c>
      <c r="M355" s="173" t="s">
        <v>489</v>
      </c>
      <c r="N355" s="121" t="s">
        <v>161</v>
      </c>
      <c r="O355" s="170">
        <v>302450</v>
      </c>
      <c r="P355" s="170">
        <v>2450</v>
      </c>
      <c r="Q355" s="134">
        <f t="shared" si="14"/>
        <v>302449.98599999998</v>
      </c>
      <c r="R355" s="134"/>
      <c r="S355" s="134"/>
      <c r="T355" s="134"/>
      <c r="U355" s="134"/>
      <c r="V355" s="134"/>
      <c r="W355" s="134"/>
      <c r="X355" s="134"/>
      <c r="Y355" s="134"/>
      <c r="Z355" s="134">
        <v>302449.98599999998</v>
      </c>
      <c r="AA355" s="134"/>
      <c r="AB355" s="134"/>
      <c r="AC355" s="134"/>
    </row>
    <row r="356" spans="1:29" ht="36">
      <c r="A356" s="123">
        <v>40011807</v>
      </c>
      <c r="B356" s="119" t="s">
        <v>629</v>
      </c>
      <c r="C356" s="119" t="s">
        <v>26</v>
      </c>
      <c r="D356" s="119" t="s">
        <v>332</v>
      </c>
      <c r="E356" s="117"/>
      <c r="F356" s="118" t="s">
        <v>161</v>
      </c>
      <c r="G356" s="272" t="s">
        <v>712</v>
      </c>
      <c r="H356" s="118" t="s">
        <v>85</v>
      </c>
      <c r="I356" s="118" t="s">
        <v>189</v>
      </c>
      <c r="J356" s="117">
        <v>2023</v>
      </c>
      <c r="K356" s="117">
        <v>13203</v>
      </c>
      <c r="L356" s="172">
        <v>556905</v>
      </c>
      <c r="M356" s="173" t="s">
        <v>279</v>
      </c>
      <c r="N356" s="121" t="s">
        <v>354</v>
      </c>
      <c r="O356" s="170">
        <v>18075</v>
      </c>
      <c r="P356" s="170">
        <v>269000</v>
      </c>
      <c r="Q356" s="134">
        <f t="shared" si="14"/>
        <v>0</v>
      </c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4"/>
      <c r="AC356" s="134"/>
    </row>
    <row r="357" spans="1:29" ht="36">
      <c r="A357" s="300">
        <v>40021817</v>
      </c>
      <c r="B357" s="119" t="s">
        <v>678</v>
      </c>
      <c r="C357" s="119" t="s">
        <v>29</v>
      </c>
      <c r="D357" s="123" t="s">
        <v>160</v>
      </c>
      <c r="E357" s="260"/>
      <c r="F357" s="118" t="s">
        <v>161</v>
      </c>
      <c r="G357" s="272" t="s">
        <v>713</v>
      </c>
      <c r="H357" s="251" t="s">
        <v>98</v>
      </c>
      <c r="I357" s="272" t="s">
        <v>207</v>
      </c>
      <c r="J357" s="117">
        <v>2023</v>
      </c>
      <c r="K357" s="117">
        <v>13066</v>
      </c>
      <c r="L357" s="172">
        <v>3818182</v>
      </c>
      <c r="M357" s="173" t="s">
        <v>177</v>
      </c>
      <c r="N357" s="121" t="s">
        <v>161</v>
      </c>
      <c r="O357" s="170">
        <v>267132</v>
      </c>
      <c r="P357" s="170">
        <v>267132</v>
      </c>
      <c r="Q357" s="134">
        <f t="shared" si="14"/>
        <v>2794</v>
      </c>
      <c r="R357" s="134"/>
      <c r="S357" s="134"/>
      <c r="T357" s="134"/>
      <c r="U357" s="134"/>
      <c r="V357" s="134"/>
      <c r="W357" s="134"/>
      <c r="X357" s="134"/>
      <c r="Y357" s="134">
        <v>2794</v>
      </c>
      <c r="Z357" s="134"/>
      <c r="AA357" s="134"/>
      <c r="AB357" s="134"/>
      <c r="AC357" s="134"/>
    </row>
    <row r="358" spans="1:29" ht="36">
      <c r="A358" s="300">
        <v>30093586</v>
      </c>
      <c r="B358" s="119" t="s">
        <v>678</v>
      </c>
      <c r="C358" s="119" t="s">
        <v>29</v>
      </c>
      <c r="D358" s="119" t="s">
        <v>160</v>
      </c>
      <c r="E358" s="117"/>
      <c r="F358" s="118" t="s">
        <v>161</v>
      </c>
      <c r="G358" s="272" t="s">
        <v>714</v>
      </c>
      <c r="H358" s="251" t="s">
        <v>82</v>
      </c>
      <c r="I358" s="272" t="s">
        <v>168</v>
      </c>
      <c r="J358" s="117">
        <v>2023</v>
      </c>
      <c r="K358" s="117">
        <v>13066</v>
      </c>
      <c r="L358" s="172">
        <v>10360718</v>
      </c>
      <c r="M358" s="173" t="s">
        <v>169</v>
      </c>
      <c r="N358" s="121" t="s">
        <v>325</v>
      </c>
      <c r="O358" s="170">
        <v>234220</v>
      </c>
      <c r="P358" s="170">
        <v>234220</v>
      </c>
      <c r="Q358" s="134">
        <f t="shared" si="14"/>
        <v>0</v>
      </c>
      <c r="R358" s="134"/>
      <c r="S358" s="134"/>
      <c r="T358" s="134"/>
      <c r="U358" s="134"/>
      <c r="V358" s="134"/>
      <c r="W358" s="134"/>
      <c r="X358" s="134"/>
      <c r="Y358" s="134"/>
      <c r="Z358" s="134"/>
      <c r="AA358" s="134"/>
      <c r="AB358" s="134"/>
      <c r="AC358" s="134"/>
    </row>
    <row r="359" spans="1:29" ht="24">
      <c r="A359" s="309">
        <v>30107156</v>
      </c>
      <c r="B359" s="117">
        <v>31</v>
      </c>
      <c r="C359" s="119" t="s">
        <v>29</v>
      </c>
      <c r="D359" s="123" t="s">
        <v>160</v>
      </c>
      <c r="E359" s="119"/>
      <c r="F359" s="118" t="s">
        <v>161</v>
      </c>
      <c r="G359" s="272" t="s">
        <v>715</v>
      </c>
      <c r="H359" s="251" t="s">
        <v>97</v>
      </c>
      <c r="I359" s="124" t="s">
        <v>173</v>
      </c>
      <c r="J359" s="117">
        <v>2023</v>
      </c>
      <c r="K359" s="117">
        <v>13693</v>
      </c>
      <c r="L359" s="172">
        <v>1793660</v>
      </c>
      <c r="M359" s="124" t="s">
        <v>340</v>
      </c>
      <c r="N359" s="121" t="s">
        <v>287</v>
      </c>
      <c r="O359" s="170">
        <v>300000</v>
      </c>
      <c r="P359" s="134">
        <v>372947</v>
      </c>
      <c r="Q359" s="134">
        <f t="shared" si="14"/>
        <v>0</v>
      </c>
      <c r="R359" s="134"/>
      <c r="S359" s="134"/>
      <c r="T359" s="134"/>
      <c r="U359" s="134"/>
      <c r="V359" s="134"/>
      <c r="W359" s="134"/>
      <c r="X359" s="134"/>
      <c r="Y359" s="134"/>
      <c r="Z359" s="134"/>
      <c r="AA359" s="134"/>
      <c r="AB359" s="134"/>
      <c r="AC359" s="134"/>
    </row>
    <row r="360" spans="1:29" ht="24">
      <c r="A360" s="288">
        <v>30369072</v>
      </c>
      <c r="B360" s="123">
        <v>31</v>
      </c>
      <c r="C360" s="119" t="s">
        <v>29</v>
      </c>
      <c r="D360" s="123" t="s">
        <v>160</v>
      </c>
      <c r="E360" s="117"/>
      <c r="F360" s="118" t="s">
        <v>161</v>
      </c>
      <c r="G360" s="124" t="s">
        <v>716</v>
      </c>
      <c r="H360" s="118" t="s">
        <v>86</v>
      </c>
      <c r="I360" s="272" t="s">
        <v>173</v>
      </c>
      <c r="J360" s="117">
        <v>2019</v>
      </c>
      <c r="K360" s="117">
        <v>10023</v>
      </c>
      <c r="L360" s="164">
        <v>589505</v>
      </c>
      <c r="M360" s="118" t="s">
        <v>199</v>
      </c>
      <c r="N360" s="121" t="s">
        <v>203</v>
      </c>
      <c r="O360" s="170">
        <v>113232</v>
      </c>
      <c r="P360" s="134"/>
      <c r="Q360" s="134">
        <f t="shared" si="14"/>
        <v>0</v>
      </c>
      <c r="R360" s="134"/>
      <c r="S360" s="134"/>
      <c r="T360" s="134"/>
      <c r="U360" s="134"/>
      <c r="V360" s="134"/>
      <c r="W360" s="134"/>
      <c r="X360" s="134"/>
      <c r="Y360" s="134"/>
      <c r="Z360" s="174"/>
      <c r="AA360" s="134"/>
      <c r="AB360" s="134"/>
      <c r="AC360" s="134"/>
    </row>
    <row r="361" spans="1:29" ht="28.5" customHeight="1">
      <c r="A361" s="288">
        <v>40014111</v>
      </c>
      <c r="B361" s="123">
        <v>31</v>
      </c>
      <c r="C361" s="119" t="s">
        <v>29</v>
      </c>
      <c r="D361" s="123" t="s">
        <v>160</v>
      </c>
      <c r="E361" s="123"/>
      <c r="F361" s="118" t="s">
        <v>161</v>
      </c>
      <c r="G361" s="124" t="s">
        <v>717</v>
      </c>
      <c r="H361" s="118" t="s">
        <v>84</v>
      </c>
      <c r="I361" s="272" t="s">
        <v>173</v>
      </c>
      <c r="J361" s="117">
        <v>2020</v>
      </c>
      <c r="K361" s="80">
        <v>10339</v>
      </c>
      <c r="L361" s="164">
        <v>304721.51799999998</v>
      </c>
      <c r="M361" s="118" t="s">
        <v>199</v>
      </c>
      <c r="N361" s="121" t="s">
        <v>161</v>
      </c>
      <c r="O361" s="170">
        <v>1</v>
      </c>
      <c r="P361" s="134">
        <v>25000</v>
      </c>
      <c r="Q361" s="134">
        <f t="shared" si="14"/>
        <v>0</v>
      </c>
      <c r="R361" s="134"/>
      <c r="S361" s="134"/>
      <c r="T361" s="134"/>
      <c r="U361" s="134"/>
      <c r="V361" s="134"/>
      <c r="W361" s="134"/>
      <c r="X361" s="134"/>
      <c r="Y361" s="134"/>
      <c r="Z361" s="134"/>
      <c r="AA361" s="134"/>
      <c r="AB361" s="134"/>
      <c r="AC361" s="134"/>
    </row>
    <row r="362" spans="1:29" ht="24">
      <c r="A362" s="288">
        <v>40037651</v>
      </c>
      <c r="B362" s="123">
        <v>29</v>
      </c>
      <c r="C362" s="119" t="s">
        <v>26</v>
      </c>
      <c r="D362" s="123"/>
      <c r="E362" s="123"/>
      <c r="F362" s="118" t="s">
        <v>161</v>
      </c>
      <c r="G362" s="124" t="s">
        <v>718</v>
      </c>
      <c r="H362" s="251" t="s">
        <v>103</v>
      </c>
      <c r="I362" s="272" t="s">
        <v>173</v>
      </c>
      <c r="J362" s="117">
        <v>2023</v>
      </c>
      <c r="K362" s="117">
        <v>12956</v>
      </c>
      <c r="L362" s="172">
        <v>1994278</v>
      </c>
      <c r="M362" s="173" t="s">
        <v>340</v>
      </c>
      <c r="N362" s="121" t="s">
        <v>178</v>
      </c>
      <c r="O362" s="170">
        <v>25603</v>
      </c>
      <c r="P362" s="134">
        <v>1000</v>
      </c>
      <c r="Q362" s="134">
        <f t="shared" si="14"/>
        <v>0</v>
      </c>
      <c r="R362" s="134"/>
      <c r="S362" s="134"/>
      <c r="T362" s="134"/>
      <c r="U362" s="134"/>
      <c r="V362" s="134"/>
      <c r="W362" s="134"/>
      <c r="X362" s="134"/>
      <c r="Y362" s="134"/>
      <c r="Z362" s="134"/>
      <c r="AA362" s="134"/>
      <c r="AB362" s="134"/>
      <c r="AC362" s="134"/>
    </row>
    <row r="363" spans="1:29" ht="24">
      <c r="A363" s="288">
        <v>40037651</v>
      </c>
      <c r="B363" s="123">
        <v>29</v>
      </c>
      <c r="C363" s="119" t="s">
        <v>37</v>
      </c>
      <c r="D363" s="123" t="s">
        <v>332</v>
      </c>
      <c r="E363" s="260"/>
      <c r="F363" s="118" t="s">
        <v>161</v>
      </c>
      <c r="G363" s="124" t="s">
        <v>719</v>
      </c>
      <c r="H363" s="251" t="s">
        <v>103</v>
      </c>
      <c r="I363" s="272" t="s">
        <v>173</v>
      </c>
      <c r="J363" s="117">
        <v>2023</v>
      </c>
      <c r="K363" s="117">
        <v>12956</v>
      </c>
      <c r="L363" s="172">
        <v>1994278</v>
      </c>
      <c r="M363" s="173" t="s">
        <v>340</v>
      </c>
      <c r="N363" s="121" t="s">
        <v>178</v>
      </c>
      <c r="O363" s="170">
        <v>1038675</v>
      </c>
      <c r="P363" s="134"/>
      <c r="Q363" s="134">
        <f t="shared" si="14"/>
        <v>0</v>
      </c>
      <c r="R363" s="134"/>
      <c r="S363" s="134"/>
      <c r="T363" s="134"/>
      <c r="U363" s="134"/>
      <c r="V363" s="134"/>
      <c r="W363" s="134"/>
      <c r="X363" s="134"/>
      <c r="Y363" s="134"/>
      <c r="Z363" s="134"/>
      <c r="AA363" s="134"/>
      <c r="AB363" s="134"/>
      <c r="AC363" s="134"/>
    </row>
    <row r="364" spans="1:29" ht="48">
      <c r="A364" s="289">
        <v>40043201</v>
      </c>
      <c r="B364" s="119" t="s">
        <v>691</v>
      </c>
      <c r="C364" s="119" t="s">
        <v>26</v>
      </c>
      <c r="D364" s="123" t="s">
        <v>312</v>
      </c>
      <c r="E364" s="260"/>
      <c r="F364" s="118" t="s">
        <v>161</v>
      </c>
      <c r="G364" s="272" t="s">
        <v>720</v>
      </c>
      <c r="H364" s="251" t="s">
        <v>103</v>
      </c>
      <c r="I364" s="272" t="s">
        <v>435</v>
      </c>
      <c r="J364" s="117">
        <v>2022</v>
      </c>
      <c r="K364" s="117">
        <v>12705</v>
      </c>
      <c r="L364" s="172">
        <v>375000</v>
      </c>
      <c r="M364" s="118" t="s">
        <v>721</v>
      </c>
      <c r="N364" s="121" t="s">
        <v>354</v>
      </c>
      <c r="O364" s="170"/>
      <c r="P364" s="170"/>
      <c r="Q364" s="134">
        <f t="shared" si="14"/>
        <v>0</v>
      </c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</row>
    <row r="365" spans="1:29" ht="48">
      <c r="A365" s="289">
        <v>40055893</v>
      </c>
      <c r="B365" s="123">
        <v>33</v>
      </c>
      <c r="C365" s="119" t="s">
        <v>26</v>
      </c>
      <c r="D365" s="119" t="s">
        <v>312</v>
      </c>
      <c r="E365" s="117"/>
      <c r="F365" s="118" t="s">
        <v>161</v>
      </c>
      <c r="G365" s="272" t="s">
        <v>722</v>
      </c>
      <c r="H365" s="251" t="s">
        <v>82</v>
      </c>
      <c r="I365" s="118" t="s">
        <v>163</v>
      </c>
      <c r="J365" s="117">
        <v>2023</v>
      </c>
      <c r="K365" s="117">
        <v>13316</v>
      </c>
      <c r="L365" s="172">
        <v>110057</v>
      </c>
      <c r="M365" s="173" t="s">
        <v>169</v>
      </c>
      <c r="N365" s="121" t="s">
        <v>161</v>
      </c>
      <c r="O365" s="170"/>
      <c r="P365" s="134"/>
      <c r="Q365" s="134">
        <f t="shared" si="14"/>
        <v>0</v>
      </c>
      <c r="R365" s="134"/>
      <c r="S365" s="134"/>
      <c r="T365" s="134"/>
      <c r="U365" s="134"/>
      <c r="V365" s="134"/>
      <c r="W365" s="134"/>
      <c r="X365" s="134"/>
      <c r="Y365" s="134"/>
      <c r="Z365" s="134"/>
      <c r="AA365" s="134"/>
      <c r="AB365" s="134"/>
      <c r="AC365" s="134"/>
    </row>
    <row r="366" spans="1:29" ht="48">
      <c r="A366" s="289">
        <v>40056452</v>
      </c>
      <c r="B366" s="123">
        <v>33</v>
      </c>
      <c r="C366" s="119" t="s">
        <v>26</v>
      </c>
      <c r="D366" s="119" t="s">
        <v>312</v>
      </c>
      <c r="E366" s="117"/>
      <c r="F366" s="118" t="s">
        <v>161</v>
      </c>
      <c r="G366" s="272" t="s">
        <v>723</v>
      </c>
      <c r="H366" s="251" t="s">
        <v>97</v>
      </c>
      <c r="I366" s="118" t="s">
        <v>163</v>
      </c>
      <c r="J366" s="117">
        <v>2023</v>
      </c>
      <c r="K366" s="117">
        <v>13316</v>
      </c>
      <c r="L366" s="172">
        <v>110057</v>
      </c>
      <c r="M366" s="124" t="s">
        <v>210</v>
      </c>
      <c r="N366" s="121" t="s">
        <v>161</v>
      </c>
      <c r="O366" s="170"/>
      <c r="P366" s="134"/>
      <c r="Q366" s="134">
        <f t="shared" si="14"/>
        <v>0</v>
      </c>
      <c r="R366" s="134"/>
      <c r="S366" s="134"/>
      <c r="T366" s="134"/>
      <c r="U366" s="134"/>
      <c r="V366" s="134"/>
      <c r="W366" s="134"/>
      <c r="X366" s="134"/>
      <c r="Y366" s="134"/>
      <c r="Z366" s="134"/>
      <c r="AA366" s="134"/>
      <c r="AB366" s="134"/>
      <c r="AC366" s="134"/>
    </row>
    <row r="367" spans="1:29" ht="48">
      <c r="A367" s="289">
        <v>40055797</v>
      </c>
      <c r="B367" s="123">
        <v>33</v>
      </c>
      <c r="C367" s="119" t="s">
        <v>26</v>
      </c>
      <c r="D367" s="119" t="s">
        <v>312</v>
      </c>
      <c r="E367" s="117"/>
      <c r="F367" s="118" t="s">
        <v>161</v>
      </c>
      <c r="G367" s="272" t="s">
        <v>724</v>
      </c>
      <c r="H367" s="251" t="s">
        <v>84</v>
      </c>
      <c r="I367" s="118" t="s">
        <v>176</v>
      </c>
      <c r="J367" s="117">
        <v>2023</v>
      </c>
      <c r="K367" s="117">
        <v>13316</v>
      </c>
      <c r="L367" s="172">
        <v>110057</v>
      </c>
      <c r="M367" s="124" t="s">
        <v>184</v>
      </c>
      <c r="N367" s="121" t="s">
        <v>161</v>
      </c>
      <c r="O367" s="170"/>
      <c r="P367" s="134"/>
      <c r="Q367" s="134">
        <f t="shared" si="14"/>
        <v>0</v>
      </c>
      <c r="R367" s="134"/>
      <c r="S367" s="134"/>
      <c r="T367" s="134"/>
      <c r="U367" s="134"/>
      <c r="V367" s="134"/>
      <c r="W367" s="134"/>
      <c r="X367" s="134"/>
      <c r="Y367" s="134"/>
      <c r="Z367" s="134"/>
      <c r="AA367" s="134"/>
      <c r="AB367" s="134"/>
      <c r="AC367" s="134"/>
    </row>
    <row r="368" spans="1:29" ht="48">
      <c r="A368" s="289">
        <v>40056257</v>
      </c>
      <c r="B368" s="123">
        <v>33</v>
      </c>
      <c r="C368" s="119" t="s">
        <v>26</v>
      </c>
      <c r="D368" s="119" t="s">
        <v>312</v>
      </c>
      <c r="E368" s="117"/>
      <c r="F368" s="118" t="s">
        <v>161</v>
      </c>
      <c r="G368" s="272" t="s">
        <v>725</v>
      </c>
      <c r="H368" s="251" t="s">
        <v>99</v>
      </c>
      <c r="I368" s="118" t="s">
        <v>163</v>
      </c>
      <c r="J368" s="117">
        <v>2023</v>
      </c>
      <c r="K368" s="117">
        <v>13316</v>
      </c>
      <c r="L368" s="172">
        <v>110066</v>
      </c>
      <c r="M368" s="124" t="s">
        <v>263</v>
      </c>
      <c r="N368" s="121" t="s">
        <v>161</v>
      </c>
      <c r="O368" s="170"/>
      <c r="P368" s="134"/>
      <c r="Q368" s="134">
        <f t="shared" si="14"/>
        <v>0</v>
      </c>
      <c r="R368" s="134"/>
      <c r="S368" s="134"/>
      <c r="T368" s="134"/>
      <c r="U368" s="134"/>
      <c r="V368" s="134"/>
      <c r="W368" s="134"/>
      <c r="X368" s="134"/>
      <c r="Y368" s="134"/>
      <c r="Z368" s="134"/>
      <c r="AA368" s="134"/>
      <c r="AB368" s="134"/>
      <c r="AC368" s="134"/>
    </row>
    <row r="369" spans="1:29" ht="48">
      <c r="A369" s="289">
        <v>40055768</v>
      </c>
      <c r="B369" s="123">
        <v>33</v>
      </c>
      <c r="C369" s="119" t="s">
        <v>26</v>
      </c>
      <c r="D369" s="119" t="s">
        <v>312</v>
      </c>
      <c r="E369" s="117"/>
      <c r="F369" s="118" t="s">
        <v>161</v>
      </c>
      <c r="G369" s="272" t="s">
        <v>726</v>
      </c>
      <c r="H369" s="118" t="s">
        <v>83</v>
      </c>
      <c r="I369" s="118" t="s">
        <v>163</v>
      </c>
      <c r="J369" s="117">
        <v>2023</v>
      </c>
      <c r="K369" s="117">
        <v>13316</v>
      </c>
      <c r="L369" s="172">
        <v>110057</v>
      </c>
      <c r="M369" s="124" t="s">
        <v>174</v>
      </c>
      <c r="N369" s="121" t="s">
        <v>161</v>
      </c>
      <c r="O369" s="170"/>
      <c r="P369" s="134"/>
      <c r="Q369" s="134">
        <f t="shared" si="14"/>
        <v>0</v>
      </c>
      <c r="R369" s="134"/>
      <c r="S369" s="134"/>
      <c r="T369" s="134"/>
      <c r="U369" s="134"/>
      <c r="V369" s="134"/>
      <c r="W369" s="134"/>
      <c r="X369" s="134"/>
      <c r="Y369" s="134"/>
      <c r="Z369" s="134"/>
      <c r="AA369" s="134"/>
      <c r="AB369" s="134"/>
      <c r="AC369" s="134"/>
    </row>
    <row r="370" spans="1:29" ht="48">
      <c r="A370" s="289">
        <v>40055983</v>
      </c>
      <c r="B370" s="123">
        <v>33</v>
      </c>
      <c r="C370" s="119" t="s">
        <v>26</v>
      </c>
      <c r="D370" s="119" t="s">
        <v>312</v>
      </c>
      <c r="E370" s="117"/>
      <c r="F370" s="118" t="s">
        <v>161</v>
      </c>
      <c r="G370" s="272" t="s">
        <v>727</v>
      </c>
      <c r="H370" s="118" t="s">
        <v>92</v>
      </c>
      <c r="I370" s="118" t="s">
        <v>163</v>
      </c>
      <c r="J370" s="117">
        <v>2023</v>
      </c>
      <c r="K370" s="117">
        <v>13316</v>
      </c>
      <c r="L370" s="172">
        <v>109979</v>
      </c>
      <c r="M370" s="118" t="s">
        <v>187</v>
      </c>
      <c r="N370" s="121" t="s">
        <v>161</v>
      </c>
      <c r="O370" s="170"/>
      <c r="P370" s="134"/>
      <c r="Q370" s="134">
        <f t="shared" si="14"/>
        <v>0</v>
      </c>
      <c r="R370" s="134"/>
      <c r="S370" s="134"/>
      <c r="T370" s="134"/>
      <c r="U370" s="134"/>
      <c r="V370" s="134"/>
      <c r="W370" s="134"/>
      <c r="X370" s="134"/>
      <c r="Y370" s="134"/>
      <c r="Z370" s="134"/>
      <c r="AA370" s="134"/>
      <c r="AB370" s="134"/>
      <c r="AC370" s="134"/>
    </row>
    <row r="371" spans="1:29" ht="48">
      <c r="A371" s="289">
        <v>40056079</v>
      </c>
      <c r="B371" s="123">
        <v>33</v>
      </c>
      <c r="C371" s="119" t="s">
        <v>26</v>
      </c>
      <c r="D371" s="119" t="s">
        <v>312</v>
      </c>
      <c r="E371" s="117"/>
      <c r="F371" s="118" t="s">
        <v>161</v>
      </c>
      <c r="G371" s="272" t="s">
        <v>728</v>
      </c>
      <c r="H371" s="251" t="s">
        <v>91</v>
      </c>
      <c r="I371" s="118" t="s">
        <v>163</v>
      </c>
      <c r="J371" s="117">
        <v>2023</v>
      </c>
      <c r="K371" s="117">
        <v>13316</v>
      </c>
      <c r="L371" s="172">
        <v>110037</v>
      </c>
      <c r="M371" s="118" t="s">
        <v>165</v>
      </c>
      <c r="N371" s="121" t="s">
        <v>161</v>
      </c>
      <c r="O371" s="170"/>
      <c r="P371" s="134"/>
      <c r="Q371" s="134">
        <f t="shared" si="14"/>
        <v>0</v>
      </c>
      <c r="R371" s="134"/>
      <c r="S371" s="134"/>
      <c r="T371" s="134"/>
      <c r="U371" s="134"/>
      <c r="V371" s="134"/>
      <c r="W371" s="134"/>
      <c r="X371" s="134"/>
      <c r="Y371" s="134"/>
      <c r="Z371" s="134"/>
      <c r="AA371" s="134"/>
      <c r="AB371" s="134"/>
      <c r="AC371" s="134"/>
    </row>
    <row r="372" spans="1:29" ht="36">
      <c r="A372" s="300">
        <v>30074451</v>
      </c>
      <c r="B372" s="123">
        <v>31</v>
      </c>
      <c r="C372" s="119" t="s">
        <v>29</v>
      </c>
      <c r="D372" s="119" t="s">
        <v>160</v>
      </c>
      <c r="E372" s="117"/>
      <c r="F372" s="118" t="s">
        <v>161</v>
      </c>
      <c r="G372" s="272" t="s">
        <v>729</v>
      </c>
      <c r="H372" s="251" t="s">
        <v>91</v>
      </c>
      <c r="I372" s="118" t="s">
        <v>207</v>
      </c>
      <c r="J372" s="138">
        <v>2024</v>
      </c>
      <c r="K372" s="117">
        <v>13843</v>
      </c>
      <c r="L372" s="172">
        <v>610008</v>
      </c>
      <c r="M372" s="281" t="s">
        <v>681</v>
      </c>
      <c r="N372" s="121" t="s">
        <v>730</v>
      </c>
      <c r="O372" s="247"/>
      <c r="P372" s="186"/>
      <c r="Q372" s="134">
        <f t="shared" si="14"/>
        <v>0</v>
      </c>
      <c r="R372" s="186"/>
      <c r="S372" s="186"/>
      <c r="T372" s="186"/>
      <c r="U372" s="186"/>
      <c r="V372" s="186"/>
      <c r="W372" s="186"/>
      <c r="X372" s="186"/>
      <c r="Y372" s="186"/>
      <c r="Z372" s="186"/>
      <c r="AA372" s="186"/>
      <c r="AB372" s="186"/>
      <c r="AC372" s="186"/>
    </row>
    <row r="373" spans="1:29" ht="48">
      <c r="A373" s="314">
        <v>40057561</v>
      </c>
      <c r="B373" s="117">
        <v>33</v>
      </c>
      <c r="C373" s="119" t="s">
        <v>26</v>
      </c>
      <c r="D373" s="123" t="s">
        <v>312</v>
      </c>
      <c r="E373" s="119"/>
      <c r="F373" s="118" t="s">
        <v>161</v>
      </c>
      <c r="G373" s="272" t="s">
        <v>731</v>
      </c>
      <c r="H373" s="297" t="s">
        <v>103</v>
      </c>
      <c r="I373" s="118" t="s">
        <v>189</v>
      </c>
      <c r="J373" s="138">
        <v>2024</v>
      </c>
      <c r="K373" s="138">
        <v>13925</v>
      </c>
      <c r="L373" s="293">
        <v>401752</v>
      </c>
      <c r="M373" s="281" t="s">
        <v>315</v>
      </c>
      <c r="N373" s="121" t="s">
        <v>287</v>
      </c>
      <c r="O373" s="247"/>
      <c r="P373" s="186"/>
      <c r="Q373" s="134">
        <f t="shared" si="14"/>
        <v>0</v>
      </c>
      <c r="R373" s="186"/>
      <c r="S373" s="186"/>
      <c r="T373" s="186"/>
      <c r="U373" s="186"/>
      <c r="V373" s="186"/>
      <c r="W373" s="186"/>
      <c r="X373" s="186"/>
      <c r="Y373" s="186"/>
      <c r="Z373" s="186"/>
      <c r="AA373" s="186"/>
      <c r="AB373" s="186"/>
      <c r="AC373" s="186"/>
    </row>
    <row r="374" spans="1:29" ht="36">
      <c r="A374" s="300">
        <v>40058520</v>
      </c>
      <c r="B374" s="123">
        <v>29</v>
      </c>
      <c r="C374" s="119" t="s">
        <v>26</v>
      </c>
      <c r="D374" s="119" t="s">
        <v>332</v>
      </c>
      <c r="E374" s="117"/>
      <c r="F374" s="118" t="s">
        <v>161</v>
      </c>
      <c r="G374" s="272" t="s">
        <v>732</v>
      </c>
      <c r="H374" s="251" t="s">
        <v>100</v>
      </c>
      <c r="I374" s="118" t="s">
        <v>176</v>
      </c>
      <c r="J374" s="138">
        <v>2024</v>
      </c>
      <c r="K374" s="117">
        <v>13961</v>
      </c>
      <c r="L374" s="172">
        <v>87600</v>
      </c>
      <c r="M374" s="281" t="s">
        <v>753</v>
      </c>
      <c r="N374" s="121" t="s">
        <v>591</v>
      </c>
      <c r="O374" s="247"/>
      <c r="P374" s="186">
        <v>25000</v>
      </c>
      <c r="Q374" s="134">
        <f t="shared" si="14"/>
        <v>0</v>
      </c>
      <c r="R374" s="186"/>
      <c r="S374" s="186"/>
      <c r="T374" s="186"/>
      <c r="U374" s="186"/>
      <c r="V374" s="186"/>
      <c r="W374" s="186"/>
      <c r="X374" s="186"/>
      <c r="Y374" s="186"/>
      <c r="Z374" s="186"/>
      <c r="AA374" s="186"/>
      <c r="AB374" s="186"/>
      <c r="AC374" s="186"/>
    </row>
    <row r="375" spans="1:29">
      <c r="A375" s="300" t="s">
        <v>242</v>
      </c>
      <c r="B375" s="123">
        <v>29</v>
      </c>
      <c r="C375" s="119" t="s">
        <v>26</v>
      </c>
      <c r="D375" s="119"/>
      <c r="E375" s="117"/>
      <c r="F375" s="118" t="s">
        <v>161</v>
      </c>
      <c r="G375" s="272" t="s">
        <v>733</v>
      </c>
      <c r="H375" s="251" t="s">
        <v>245</v>
      </c>
      <c r="I375" s="272" t="s">
        <v>242</v>
      </c>
      <c r="J375" s="117" t="s">
        <v>245</v>
      </c>
      <c r="K375" s="117" t="s">
        <v>245</v>
      </c>
      <c r="L375" s="136" t="s">
        <v>245</v>
      </c>
      <c r="M375" s="124" t="s">
        <v>242</v>
      </c>
      <c r="N375" s="121" t="s">
        <v>245</v>
      </c>
      <c r="O375" s="170">
        <v>51197</v>
      </c>
      <c r="P375" s="134"/>
      <c r="Q375" s="134">
        <f t="shared" si="14"/>
        <v>0</v>
      </c>
      <c r="R375" s="134"/>
      <c r="S375" s="134"/>
      <c r="T375" s="134"/>
      <c r="U375" s="134"/>
      <c r="V375" s="134"/>
      <c r="W375" s="134"/>
      <c r="X375" s="134"/>
      <c r="Y375" s="134"/>
      <c r="Z375" s="134"/>
      <c r="AA375" s="134"/>
      <c r="AB375" s="134"/>
      <c r="AC375" s="134"/>
    </row>
    <row r="376" spans="1:29" ht="36">
      <c r="A376" s="300">
        <v>40058239</v>
      </c>
      <c r="B376" s="123">
        <v>29</v>
      </c>
      <c r="C376" s="119" t="s">
        <v>26</v>
      </c>
      <c r="D376" s="119" t="s">
        <v>332</v>
      </c>
      <c r="E376" s="117"/>
      <c r="F376" s="118" t="s">
        <v>161</v>
      </c>
      <c r="G376" s="272" t="s">
        <v>734</v>
      </c>
      <c r="H376" s="251" t="s">
        <v>83</v>
      </c>
      <c r="I376" s="118" t="s">
        <v>247</v>
      </c>
      <c r="J376" s="138">
        <v>2024</v>
      </c>
      <c r="K376" s="117">
        <v>13961</v>
      </c>
      <c r="L376" s="172">
        <v>964157</v>
      </c>
      <c r="M376" s="281" t="s">
        <v>753</v>
      </c>
      <c r="N376" s="121" t="s">
        <v>591</v>
      </c>
      <c r="O376" s="247"/>
      <c r="P376" s="186">
        <v>25000</v>
      </c>
      <c r="Q376" s="134">
        <f t="shared" si="14"/>
        <v>0</v>
      </c>
      <c r="R376" s="186"/>
      <c r="S376" s="186"/>
      <c r="T376" s="186"/>
      <c r="U376" s="186"/>
      <c r="V376" s="186"/>
      <c r="W376" s="186"/>
      <c r="X376" s="186"/>
      <c r="Y376" s="186"/>
      <c r="Z376" s="186"/>
      <c r="AA376" s="186"/>
      <c r="AB376" s="186"/>
      <c r="AC376" s="186"/>
    </row>
    <row r="377" spans="1:29" ht="36">
      <c r="A377" s="300">
        <v>40012009</v>
      </c>
      <c r="B377" s="123">
        <v>31</v>
      </c>
      <c r="C377" s="119" t="s">
        <v>29</v>
      </c>
      <c r="D377" s="119"/>
      <c r="E377" s="117"/>
      <c r="F377" s="118" t="s">
        <v>161</v>
      </c>
      <c r="G377" s="272" t="s">
        <v>735</v>
      </c>
      <c r="H377" s="297" t="s">
        <v>100</v>
      </c>
      <c r="I377" s="118" t="s">
        <v>180</v>
      </c>
      <c r="J377" s="138">
        <v>2024</v>
      </c>
      <c r="K377" s="117">
        <v>13961</v>
      </c>
      <c r="L377" s="172">
        <v>1528412</v>
      </c>
      <c r="M377" s="281" t="s">
        <v>233</v>
      </c>
      <c r="N377" s="121" t="s">
        <v>287</v>
      </c>
      <c r="O377" s="247"/>
      <c r="P377" s="186">
        <v>134000</v>
      </c>
      <c r="Q377" s="134">
        <f t="shared" si="14"/>
        <v>0</v>
      </c>
      <c r="R377" s="186"/>
      <c r="S377" s="186"/>
      <c r="T377" s="186"/>
      <c r="U377" s="186"/>
      <c r="V377" s="186"/>
      <c r="W377" s="186"/>
      <c r="X377" s="186"/>
      <c r="Y377" s="186"/>
      <c r="Z377" s="186"/>
      <c r="AA377" s="186"/>
      <c r="AB377" s="186"/>
      <c r="AC377" s="186"/>
    </row>
    <row r="378" spans="1:29" ht="24">
      <c r="A378" s="300">
        <v>40058768</v>
      </c>
      <c r="B378" s="123">
        <v>33</v>
      </c>
      <c r="C378" s="119" t="s">
        <v>26</v>
      </c>
      <c r="D378" s="119" t="s">
        <v>312</v>
      </c>
      <c r="E378" s="117"/>
      <c r="F378" s="118" t="s">
        <v>161</v>
      </c>
      <c r="G378" s="272" t="s">
        <v>736</v>
      </c>
      <c r="H378" s="251" t="s">
        <v>103</v>
      </c>
      <c r="I378" s="118" t="s">
        <v>163</v>
      </c>
      <c r="J378" s="117">
        <v>2024</v>
      </c>
      <c r="K378" s="117">
        <v>13961</v>
      </c>
      <c r="L378" s="172">
        <v>799956</v>
      </c>
      <c r="M378" s="118" t="s">
        <v>324</v>
      </c>
      <c r="N378" s="121" t="s">
        <v>325</v>
      </c>
      <c r="O378" s="247"/>
      <c r="P378" s="134"/>
      <c r="Q378" s="134">
        <f t="shared" si="14"/>
        <v>0</v>
      </c>
      <c r="R378" s="186"/>
      <c r="S378" s="186"/>
      <c r="T378" s="134"/>
      <c r="U378" s="134"/>
      <c r="V378" s="134"/>
      <c r="W378" s="134"/>
      <c r="X378" s="134"/>
      <c r="Y378" s="134"/>
      <c r="Z378" s="134"/>
      <c r="AA378" s="134"/>
      <c r="AB378" s="134"/>
      <c r="AC378" s="134"/>
    </row>
    <row r="379" spans="1:29" ht="36">
      <c r="A379" s="300">
        <v>40010437</v>
      </c>
      <c r="B379" s="123">
        <v>33</v>
      </c>
      <c r="C379" s="119" t="s">
        <v>26</v>
      </c>
      <c r="D379" s="119"/>
      <c r="E379" s="117"/>
      <c r="F379" s="118" t="s">
        <v>161</v>
      </c>
      <c r="G379" s="272" t="s">
        <v>737</v>
      </c>
      <c r="H379" s="251" t="s">
        <v>103</v>
      </c>
      <c r="I379" s="118" t="s">
        <v>435</v>
      </c>
      <c r="J379" s="117">
        <v>2019</v>
      </c>
      <c r="K379" s="117">
        <v>9885</v>
      </c>
      <c r="L379" s="172">
        <v>2547662</v>
      </c>
      <c r="M379" s="118" t="s">
        <v>738</v>
      </c>
      <c r="N379" s="121" t="s">
        <v>238</v>
      </c>
      <c r="O379" s="247">
        <v>115487</v>
      </c>
      <c r="P379" s="134"/>
      <c r="Q379" s="134">
        <f t="shared" si="14"/>
        <v>8.8109999999999999</v>
      </c>
      <c r="R379" s="186"/>
      <c r="S379" s="186"/>
      <c r="T379" s="186">
        <v>8.8109999999999999</v>
      </c>
      <c r="U379" s="186"/>
      <c r="V379" s="186"/>
      <c r="W379" s="186"/>
      <c r="X379" s="186"/>
      <c r="Y379" s="186"/>
      <c r="Z379" s="186"/>
      <c r="AA379" s="186"/>
      <c r="AB379" s="186"/>
      <c r="AC379" s="186"/>
    </row>
    <row r="380" spans="1:29" ht="48">
      <c r="A380" s="300">
        <v>40009682</v>
      </c>
      <c r="B380" s="123">
        <v>31</v>
      </c>
      <c r="C380" s="119" t="s">
        <v>29</v>
      </c>
      <c r="D380" s="119"/>
      <c r="E380" s="117"/>
      <c r="F380" s="118" t="s">
        <v>161</v>
      </c>
      <c r="G380" s="272" t="s">
        <v>739</v>
      </c>
      <c r="H380" s="251" t="s">
        <v>97</v>
      </c>
      <c r="I380" s="118" t="s">
        <v>310</v>
      </c>
      <c r="J380" s="117">
        <v>2021</v>
      </c>
      <c r="K380" s="117">
        <v>11531</v>
      </c>
      <c r="L380" s="172">
        <v>152086</v>
      </c>
      <c r="M380" s="173" t="s">
        <v>210</v>
      </c>
      <c r="N380" s="121" t="s">
        <v>366</v>
      </c>
      <c r="O380" s="247">
        <v>91170</v>
      </c>
      <c r="P380" s="134"/>
      <c r="Q380" s="134">
        <f t="shared" si="14"/>
        <v>0</v>
      </c>
      <c r="R380" s="186"/>
      <c r="S380" s="186"/>
      <c r="T380" s="186"/>
      <c r="U380" s="186"/>
      <c r="V380" s="186"/>
      <c r="W380" s="186"/>
      <c r="X380" s="186"/>
      <c r="Y380" s="186"/>
      <c r="Z380" s="186"/>
      <c r="AA380" s="186"/>
      <c r="AB380" s="186"/>
      <c r="AC380" s="186"/>
    </row>
    <row r="381" spans="1:29" ht="24">
      <c r="A381" s="123" t="s">
        <v>242</v>
      </c>
      <c r="B381" s="123">
        <v>24</v>
      </c>
      <c r="C381" s="119" t="s">
        <v>26</v>
      </c>
      <c r="D381" s="119"/>
      <c r="E381" s="117">
        <v>301</v>
      </c>
      <c r="F381" s="118" t="s">
        <v>161</v>
      </c>
      <c r="G381" s="272" t="s">
        <v>740</v>
      </c>
      <c r="H381" s="251" t="s">
        <v>245</v>
      </c>
      <c r="I381" s="124" t="s">
        <v>245</v>
      </c>
      <c r="J381" s="117" t="s">
        <v>245</v>
      </c>
      <c r="K381" s="117" t="s">
        <v>245</v>
      </c>
      <c r="L381" s="136" t="s">
        <v>245</v>
      </c>
      <c r="M381" s="118" t="s">
        <v>324</v>
      </c>
      <c r="N381" s="121" t="s">
        <v>245</v>
      </c>
      <c r="O381" s="170">
        <f>262500+7919</f>
        <v>270419</v>
      </c>
      <c r="P381" s="134"/>
      <c r="Q381" s="134">
        <f t="shared" si="14"/>
        <v>0</v>
      </c>
      <c r="R381" s="134"/>
      <c r="S381" s="134"/>
      <c r="T381" s="134"/>
      <c r="U381" s="134"/>
      <c r="V381" s="134"/>
      <c r="W381" s="134"/>
      <c r="X381" s="186"/>
      <c r="Y381" s="186"/>
      <c r="Z381" s="186"/>
      <c r="AA381" s="186"/>
      <c r="AB381" s="186"/>
      <c r="AC381" s="186"/>
    </row>
    <row r="382" spans="1:29">
      <c r="A382" s="123" t="s">
        <v>242</v>
      </c>
      <c r="B382" s="123">
        <v>31</v>
      </c>
      <c r="C382" s="119" t="s">
        <v>24</v>
      </c>
      <c r="D382" s="119"/>
      <c r="E382" s="117"/>
      <c r="F382" s="118" t="s">
        <v>161</v>
      </c>
      <c r="G382" s="124" t="s">
        <v>741</v>
      </c>
      <c r="H382" s="251" t="s">
        <v>245</v>
      </c>
      <c r="I382" s="124" t="s">
        <v>245</v>
      </c>
      <c r="J382" s="117" t="s">
        <v>245</v>
      </c>
      <c r="K382" s="117" t="s">
        <v>245</v>
      </c>
      <c r="L382" s="136" t="s">
        <v>245</v>
      </c>
      <c r="M382" s="118" t="s">
        <v>324</v>
      </c>
      <c r="N382" s="121" t="s">
        <v>245</v>
      </c>
      <c r="O382" s="170"/>
      <c r="P382" s="134"/>
      <c r="Q382" s="134">
        <f>SUM(R382:AC382)</f>
        <v>0</v>
      </c>
      <c r="R382" s="186"/>
      <c r="S382" s="186"/>
      <c r="T382" s="186"/>
      <c r="U382" s="186"/>
      <c r="V382" s="186"/>
      <c r="W382" s="186"/>
      <c r="X382" s="186"/>
      <c r="Y382" s="186"/>
      <c r="Z382" s="186"/>
      <c r="AA382" s="186"/>
      <c r="AB382" s="186"/>
      <c r="AC382" s="186"/>
    </row>
    <row r="383" spans="1:29" ht="24">
      <c r="A383" s="301">
        <v>3303125</v>
      </c>
      <c r="B383" s="123">
        <v>33</v>
      </c>
      <c r="C383" s="119" t="s">
        <v>26</v>
      </c>
      <c r="D383" s="123" t="s">
        <v>312</v>
      </c>
      <c r="E383" s="117" t="s">
        <v>742</v>
      </c>
      <c r="F383" s="118" t="s">
        <v>161</v>
      </c>
      <c r="G383" s="118" t="s">
        <v>743</v>
      </c>
      <c r="H383" s="118" t="s">
        <v>245</v>
      </c>
      <c r="I383" s="124" t="s">
        <v>245</v>
      </c>
      <c r="J383" s="117">
        <v>2016</v>
      </c>
      <c r="K383" s="117" t="s">
        <v>744</v>
      </c>
      <c r="L383" s="172">
        <v>7000000</v>
      </c>
      <c r="M383" s="281" t="s">
        <v>745</v>
      </c>
      <c r="N383" s="121" t="s">
        <v>161</v>
      </c>
      <c r="O383" s="170">
        <v>3700000</v>
      </c>
      <c r="P383" s="152">
        <v>3329535</v>
      </c>
      <c r="Q383" s="134">
        <f>SUM(R383:AC383)</f>
        <v>1789475.0619999999</v>
      </c>
      <c r="R383" s="134"/>
      <c r="S383" s="134">
        <f>'FRIL 2024'!J1</f>
        <v>237676.89499999999</v>
      </c>
      <c r="T383" s="134">
        <f>'FRIL 2024'!$K$1</f>
        <v>338906.56400000001</v>
      </c>
      <c r="U383" s="134">
        <f>'FRIL 2024'!L1</f>
        <v>214012.78900000002</v>
      </c>
      <c r="V383" s="134">
        <f>'FRIL 2024'!M1</f>
        <v>133822.717</v>
      </c>
      <c r="W383" s="134">
        <f>'FRIL 2024'!N1</f>
        <v>217720.82</v>
      </c>
      <c r="X383" s="134">
        <f>'FRIL 2024'!O1</f>
        <v>293017.85699999996</v>
      </c>
      <c r="Y383" s="134">
        <f>'FRIL 2024'!P1</f>
        <v>169796.568</v>
      </c>
      <c r="Z383" s="134">
        <f>'FRIL 2024'!Q1</f>
        <v>58261.125</v>
      </c>
      <c r="AA383" s="134">
        <f>'FRIL 2024'!R1</f>
        <v>126259.727</v>
      </c>
      <c r="AB383" s="134"/>
      <c r="AC383" s="134"/>
    </row>
    <row r="384" spans="1:29" ht="24">
      <c r="A384" s="300">
        <v>40014358</v>
      </c>
      <c r="B384" s="123">
        <v>33</v>
      </c>
      <c r="C384" s="119" t="s">
        <v>26</v>
      </c>
      <c r="D384" s="117"/>
      <c r="E384" s="117" t="s">
        <v>746</v>
      </c>
      <c r="F384" s="118" t="s">
        <v>161</v>
      </c>
      <c r="G384" s="272" t="s">
        <v>747</v>
      </c>
      <c r="H384" s="251" t="s">
        <v>103</v>
      </c>
      <c r="I384" s="118" t="s">
        <v>414</v>
      </c>
      <c r="J384" s="117">
        <v>2019</v>
      </c>
      <c r="K384" s="117">
        <v>10064</v>
      </c>
      <c r="L384" s="172">
        <v>69526</v>
      </c>
      <c r="M384" s="173" t="s">
        <v>748</v>
      </c>
      <c r="N384" s="121" t="s">
        <v>161</v>
      </c>
      <c r="O384" s="344">
        <v>7001</v>
      </c>
      <c r="P384" s="134"/>
      <c r="Q384" s="134">
        <f t="shared" ref="Q384" si="15">SUM(R384:AC384)</f>
        <v>2080.2739999999999</v>
      </c>
      <c r="R384" s="186"/>
      <c r="S384" s="186"/>
      <c r="T384" s="186"/>
      <c r="U384" s="186">
        <v>2080.2739999999999</v>
      </c>
      <c r="V384" s="186"/>
      <c r="W384" s="186"/>
      <c r="X384" s="186"/>
      <c r="Y384" s="186"/>
      <c r="Z384" s="186"/>
      <c r="AA384" s="134"/>
      <c r="AB384" s="134"/>
      <c r="AC384" s="134"/>
    </row>
    <row r="385" spans="1:29" ht="36">
      <c r="A385" s="123">
        <v>30436632</v>
      </c>
      <c r="B385" s="123">
        <v>33</v>
      </c>
      <c r="C385" s="119" t="s">
        <v>26</v>
      </c>
      <c r="D385" s="117"/>
      <c r="E385" s="117">
        <v>242</v>
      </c>
      <c r="F385" s="118" t="s">
        <v>161</v>
      </c>
      <c r="G385" s="272" t="s">
        <v>749</v>
      </c>
      <c r="H385" s="281" t="s">
        <v>97</v>
      </c>
      <c r="I385" s="118" t="s">
        <v>414</v>
      </c>
      <c r="J385" s="117">
        <v>2017</v>
      </c>
      <c r="K385" s="117">
        <v>8733</v>
      </c>
      <c r="L385" s="172">
        <v>60000</v>
      </c>
      <c r="M385" s="281" t="s">
        <v>750</v>
      </c>
      <c r="N385" s="121" t="s">
        <v>238</v>
      </c>
      <c r="O385" s="134">
        <v>2129</v>
      </c>
      <c r="P385" s="134"/>
      <c r="Q385" s="134">
        <f t="shared" ref="Q385:Q386" si="16">SUM(R385:AC385)</f>
        <v>0</v>
      </c>
      <c r="R385" s="186"/>
      <c r="S385" s="186"/>
      <c r="T385" s="186"/>
      <c r="U385" s="186"/>
      <c r="V385" s="186"/>
      <c r="W385" s="186"/>
      <c r="X385" s="186"/>
      <c r="Y385" s="186"/>
      <c r="Z385" s="186"/>
      <c r="AA385" s="134"/>
      <c r="AB385" s="134"/>
      <c r="AC385" s="134"/>
    </row>
    <row r="386" spans="1:29" ht="48">
      <c r="A386" s="300">
        <v>40057029</v>
      </c>
      <c r="B386" s="123">
        <v>31</v>
      </c>
      <c r="C386" s="119" t="s">
        <v>29</v>
      </c>
      <c r="D386" s="272"/>
      <c r="E386" s="117"/>
      <c r="F386" s="118" t="s">
        <v>751</v>
      </c>
      <c r="G386" s="272" t="s">
        <v>752</v>
      </c>
      <c r="H386" s="118" t="s">
        <v>88</v>
      </c>
      <c r="I386" s="118"/>
      <c r="J386" s="117">
        <v>2024</v>
      </c>
      <c r="K386" s="117">
        <v>14008</v>
      </c>
      <c r="L386" s="172">
        <v>72219</v>
      </c>
      <c r="M386" s="118" t="s">
        <v>753</v>
      </c>
      <c r="N386" s="121" t="s">
        <v>754</v>
      </c>
      <c r="O386" s="134">
        <v>0</v>
      </c>
      <c r="P386" s="134">
        <v>0</v>
      </c>
      <c r="Q386" s="134">
        <f t="shared" si="16"/>
        <v>0</v>
      </c>
      <c r="R386" s="186"/>
      <c r="S386" s="186"/>
      <c r="T386" s="134"/>
      <c r="U386" s="134"/>
      <c r="V386" s="134"/>
      <c r="W386" s="134"/>
      <c r="X386" s="134"/>
      <c r="Y386" s="134"/>
      <c r="Z386" s="134"/>
      <c r="AA386" s="134"/>
      <c r="AB386" s="134"/>
      <c r="AC386" s="134"/>
    </row>
    <row r="387" spans="1:29" ht="36">
      <c r="A387" s="300">
        <v>40066218</v>
      </c>
      <c r="B387" s="123">
        <v>33</v>
      </c>
      <c r="C387" s="119" t="s">
        <v>26</v>
      </c>
      <c r="D387" s="272"/>
      <c r="E387" s="117"/>
      <c r="F387" s="118" t="s">
        <v>161</v>
      </c>
      <c r="G387" s="272" t="s">
        <v>755</v>
      </c>
      <c r="H387" s="251" t="s">
        <v>84</v>
      </c>
      <c r="I387" s="118"/>
      <c r="J387" s="117">
        <v>2024</v>
      </c>
      <c r="K387" s="117">
        <v>14039</v>
      </c>
      <c r="L387" s="172">
        <v>2697583</v>
      </c>
      <c r="M387" s="118" t="s">
        <v>666</v>
      </c>
      <c r="N387" s="121" t="s">
        <v>325</v>
      </c>
      <c r="O387" s="134">
        <v>0</v>
      </c>
      <c r="P387" s="134">
        <v>0</v>
      </c>
      <c r="Q387" s="134">
        <f t="shared" ref="Q387:Q388" si="17">SUM(R387:AC387)</f>
        <v>0</v>
      </c>
      <c r="R387" s="186"/>
      <c r="S387" s="186"/>
      <c r="T387" s="134"/>
      <c r="U387" s="134"/>
      <c r="V387" s="134"/>
      <c r="W387" s="134"/>
      <c r="X387" s="134"/>
      <c r="Y387" s="134"/>
      <c r="Z387" s="134"/>
      <c r="AA387" s="134"/>
      <c r="AB387" s="134"/>
      <c r="AC387" s="134"/>
    </row>
    <row r="388" spans="1:29" ht="24">
      <c r="A388" s="300">
        <v>40057885</v>
      </c>
      <c r="B388" s="123">
        <v>29</v>
      </c>
      <c r="C388" s="119" t="s">
        <v>26</v>
      </c>
      <c r="D388" s="272"/>
      <c r="E388" s="117"/>
      <c r="F388" s="118" t="s">
        <v>161</v>
      </c>
      <c r="G388" s="272" t="s">
        <v>756</v>
      </c>
      <c r="H388" s="118" t="s">
        <v>93</v>
      </c>
      <c r="I388" s="118"/>
      <c r="J388" s="117">
        <v>2024</v>
      </c>
      <c r="K388" s="117">
        <v>14042</v>
      </c>
      <c r="L388" s="172">
        <v>909600</v>
      </c>
      <c r="M388" s="118" t="s">
        <v>753</v>
      </c>
      <c r="N388" s="121" t="s">
        <v>354</v>
      </c>
      <c r="O388" s="134">
        <v>0</v>
      </c>
      <c r="P388" s="134">
        <v>0</v>
      </c>
      <c r="Q388" s="134">
        <f t="shared" si="17"/>
        <v>0</v>
      </c>
      <c r="R388" s="186"/>
      <c r="S388" s="186"/>
      <c r="T388" s="134"/>
      <c r="U388" s="134"/>
      <c r="V388" s="134"/>
      <c r="W388" s="134"/>
      <c r="X388" s="134"/>
      <c r="Y388" s="134"/>
      <c r="Z388" s="134"/>
      <c r="AA388" s="134"/>
      <c r="AB388" s="134"/>
      <c r="AC388" s="134"/>
    </row>
    <row r="389" spans="1:29" ht="36">
      <c r="A389" s="300">
        <v>40058253</v>
      </c>
      <c r="B389" s="123">
        <v>29</v>
      </c>
      <c r="C389" s="119" t="s">
        <v>26</v>
      </c>
      <c r="D389" s="272"/>
      <c r="E389" s="117"/>
      <c r="F389" s="118" t="s">
        <v>161</v>
      </c>
      <c r="G389" s="272" t="s">
        <v>757</v>
      </c>
      <c r="H389" s="118" t="s">
        <v>94</v>
      </c>
      <c r="I389" s="118"/>
      <c r="J389" s="117">
        <v>2024</v>
      </c>
      <c r="K389" s="117">
        <v>14098</v>
      </c>
      <c r="L389" s="172">
        <v>213356</v>
      </c>
      <c r="M389" s="118" t="s">
        <v>753</v>
      </c>
      <c r="N389" s="121" t="s">
        <v>591</v>
      </c>
      <c r="O389" s="134">
        <v>0</v>
      </c>
      <c r="P389" s="134">
        <v>0</v>
      </c>
      <c r="Q389" s="134">
        <f t="shared" ref="Q389" si="18">SUM(R389:AC389)</f>
        <v>0</v>
      </c>
      <c r="R389" s="186"/>
      <c r="S389" s="186"/>
      <c r="T389" s="134"/>
      <c r="U389" s="134"/>
      <c r="V389" s="134"/>
      <c r="W389" s="134"/>
      <c r="X389" s="134"/>
      <c r="Y389" s="134"/>
      <c r="Z389" s="134"/>
      <c r="AA389" s="134"/>
      <c r="AB389" s="134"/>
      <c r="AC389" s="134"/>
    </row>
    <row r="390" spans="1:29" ht="36">
      <c r="A390" s="332">
        <v>40047389</v>
      </c>
      <c r="B390" s="123" t="s">
        <v>691</v>
      </c>
      <c r="C390" s="119" t="s">
        <v>26</v>
      </c>
      <c r="F390" s="118" t="s">
        <v>161</v>
      </c>
      <c r="G390" s="333" t="s">
        <v>758</v>
      </c>
      <c r="H390" s="251" t="s">
        <v>103</v>
      </c>
      <c r="I390" s="118"/>
      <c r="J390" s="117">
        <v>2024</v>
      </c>
      <c r="K390" s="117">
        <v>14105</v>
      </c>
      <c r="L390" s="172">
        <v>416685</v>
      </c>
      <c r="M390" s="118" t="s">
        <v>433</v>
      </c>
      <c r="N390" s="121" t="s">
        <v>287</v>
      </c>
      <c r="O390" s="134">
        <v>0</v>
      </c>
      <c r="P390" s="134">
        <v>0</v>
      </c>
      <c r="Q390" s="134">
        <f t="shared" ref="Q390" si="19">SUM(R390:AC390)</f>
        <v>0</v>
      </c>
      <c r="R390" s="186"/>
      <c r="S390" s="186"/>
      <c r="T390" s="134"/>
      <c r="U390" s="134"/>
      <c r="V390" s="134"/>
      <c r="W390" s="134"/>
      <c r="X390" s="134"/>
      <c r="Y390" s="134"/>
      <c r="Z390" s="134"/>
      <c r="AA390" s="134"/>
      <c r="AB390" s="134"/>
      <c r="AC390" s="134"/>
    </row>
    <row r="391" spans="1:29" ht="48">
      <c r="A391" s="332">
        <v>40045756</v>
      </c>
      <c r="B391" s="123" t="s">
        <v>691</v>
      </c>
      <c r="C391" s="119" t="s">
        <v>26</v>
      </c>
      <c r="F391" s="118" t="s">
        <v>161</v>
      </c>
      <c r="G391" s="333" t="s">
        <v>759</v>
      </c>
      <c r="H391" s="251" t="s">
        <v>84</v>
      </c>
      <c r="I391" s="118"/>
      <c r="J391" s="117">
        <v>2024</v>
      </c>
      <c r="K391" s="117">
        <v>14130</v>
      </c>
      <c r="L391" s="172">
        <v>4970157</v>
      </c>
      <c r="M391" s="118" t="s">
        <v>184</v>
      </c>
      <c r="N391" s="121" t="s">
        <v>325</v>
      </c>
      <c r="O391" s="134">
        <v>0</v>
      </c>
      <c r="P391" s="134">
        <v>0</v>
      </c>
      <c r="Q391" s="134">
        <f t="shared" ref="Q391" si="20">SUM(R391:AC391)</f>
        <v>0</v>
      </c>
      <c r="R391" s="186"/>
      <c r="S391" s="186"/>
      <c r="T391" s="134"/>
      <c r="U391" s="134"/>
      <c r="V391" s="134"/>
      <c r="W391" s="134"/>
      <c r="X391" s="134"/>
      <c r="Y391" s="134"/>
      <c r="Z391" s="134"/>
      <c r="AA391" s="134"/>
      <c r="AB391" s="134"/>
      <c r="AC391" s="134"/>
    </row>
    <row r="392" spans="1:29" ht="48">
      <c r="A392" s="332">
        <v>40058167</v>
      </c>
      <c r="B392" s="123">
        <v>29</v>
      </c>
      <c r="C392" s="119" t="s">
        <v>26</v>
      </c>
      <c r="F392" s="118" t="s">
        <v>161</v>
      </c>
      <c r="G392" s="333" t="s">
        <v>760</v>
      </c>
      <c r="H392" s="251" t="s">
        <v>103</v>
      </c>
      <c r="I392" s="118"/>
      <c r="J392" s="117">
        <v>2024</v>
      </c>
      <c r="K392" s="117">
        <v>14137</v>
      </c>
      <c r="L392" s="172">
        <v>394222</v>
      </c>
      <c r="M392" s="118" t="s">
        <v>324</v>
      </c>
      <c r="N392" s="121" t="s">
        <v>829</v>
      </c>
      <c r="O392" s="134">
        <v>0</v>
      </c>
      <c r="P392" s="134">
        <v>0</v>
      </c>
      <c r="Q392" s="134">
        <f t="shared" ref="Q392" si="21">SUM(R392:AC392)</f>
        <v>0</v>
      </c>
      <c r="R392" s="186"/>
      <c r="S392" s="186"/>
      <c r="T392" s="134"/>
      <c r="U392" s="134"/>
      <c r="V392" s="134"/>
      <c r="W392" s="134"/>
      <c r="X392" s="134"/>
      <c r="Y392" s="134"/>
      <c r="Z392" s="134"/>
      <c r="AA392" s="134"/>
      <c r="AB392" s="134"/>
      <c r="AC392" s="134"/>
    </row>
    <row r="393" spans="1:29" ht="48">
      <c r="A393" s="123">
        <v>40064260</v>
      </c>
      <c r="B393" s="123">
        <v>24</v>
      </c>
      <c r="C393" s="324" t="s">
        <v>26</v>
      </c>
      <c r="D393" s="123"/>
      <c r="E393" s="119"/>
      <c r="F393" s="118" t="s">
        <v>161</v>
      </c>
      <c r="G393" s="272" t="s">
        <v>761</v>
      </c>
      <c r="H393" s="251" t="s">
        <v>103</v>
      </c>
      <c r="I393" s="118"/>
      <c r="J393" s="117">
        <v>2024</v>
      </c>
      <c r="K393" s="117">
        <v>14150</v>
      </c>
      <c r="L393" s="172">
        <v>678656.23699999996</v>
      </c>
      <c r="M393" s="124" t="s">
        <v>464</v>
      </c>
      <c r="N393" s="121" t="s">
        <v>325</v>
      </c>
      <c r="O393" s="134">
        <v>0</v>
      </c>
      <c r="P393" s="134">
        <v>0</v>
      </c>
      <c r="Q393" s="134">
        <f t="shared" ref="Q393" si="22">SUM(R393:AC393)</f>
        <v>0</v>
      </c>
      <c r="R393" s="134"/>
      <c r="S393" s="134"/>
      <c r="T393" s="134"/>
      <c r="U393" s="134"/>
      <c r="V393" s="134"/>
      <c r="W393" s="134"/>
      <c r="X393" s="134"/>
      <c r="Y393" s="134"/>
      <c r="Z393" s="134"/>
      <c r="AA393" s="134"/>
      <c r="AB393" s="134"/>
      <c r="AC393" s="134"/>
    </row>
    <row r="394" spans="1:29" ht="24">
      <c r="A394" s="332">
        <v>40055234</v>
      </c>
      <c r="B394" s="123">
        <v>31</v>
      </c>
      <c r="C394" s="119" t="s">
        <v>29</v>
      </c>
      <c r="F394" s="118" t="s">
        <v>161</v>
      </c>
      <c r="G394" s="333" t="s">
        <v>762</v>
      </c>
      <c r="H394" s="251" t="s">
        <v>85</v>
      </c>
      <c r="I394" s="118"/>
      <c r="J394" s="117">
        <v>2024</v>
      </c>
      <c r="K394" s="117">
        <v>14171</v>
      </c>
      <c r="L394" s="172">
        <v>299973</v>
      </c>
      <c r="M394" s="118" t="s">
        <v>279</v>
      </c>
      <c r="N394" s="121" t="s">
        <v>325</v>
      </c>
      <c r="O394" s="134">
        <v>0</v>
      </c>
      <c r="P394" s="134">
        <v>0</v>
      </c>
      <c r="Q394" s="134">
        <f t="shared" ref="Q394" si="23">SUM(R394:AC394)</f>
        <v>0</v>
      </c>
      <c r="R394" s="186"/>
      <c r="S394" s="186"/>
      <c r="T394" s="134"/>
      <c r="U394" s="134"/>
      <c r="V394" s="134"/>
      <c r="W394" s="134"/>
      <c r="X394" s="134"/>
      <c r="Y394" s="134"/>
      <c r="Z394" s="134"/>
      <c r="AA394" s="134"/>
      <c r="AB394" s="134"/>
      <c r="AC394" s="134"/>
    </row>
    <row r="395" spans="1:29" ht="36">
      <c r="A395" s="332">
        <v>40014206</v>
      </c>
      <c r="B395" s="123">
        <v>31</v>
      </c>
      <c r="C395" s="119" t="s">
        <v>29</v>
      </c>
      <c r="F395" s="118" t="s">
        <v>161</v>
      </c>
      <c r="G395" s="333" t="s">
        <v>763</v>
      </c>
      <c r="H395" s="251" t="s">
        <v>86</v>
      </c>
      <c r="I395" s="118"/>
      <c r="J395" s="117">
        <v>2024</v>
      </c>
      <c r="K395" s="117">
        <v>14171</v>
      </c>
      <c r="L395" s="172">
        <v>2524334</v>
      </c>
      <c r="M395" s="118" t="s">
        <v>229</v>
      </c>
      <c r="N395" s="121" t="s">
        <v>287</v>
      </c>
      <c r="O395" s="134">
        <v>0</v>
      </c>
      <c r="P395" s="134">
        <v>0</v>
      </c>
      <c r="Q395" s="134">
        <f t="shared" ref="Q395:Q396" si="24">SUM(R395:AC395)</f>
        <v>0</v>
      </c>
      <c r="R395" s="186"/>
      <c r="S395" s="186"/>
      <c r="T395" s="134"/>
      <c r="U395" s="134"/>
      <c r="V395" s="134"/>
      <c r="W395" s="134"/>
      <c r="X395" s="134"/>
      <c r="Y395" s="134"/>
      <c r="Z395" s="134"/>
      <c r="AA395" s="134"/>
      <c r="AB395" s="134"/>
      <c r="AC395" s="134"/>
    </row>
    <row r="396" spans="1:29" ht="24">
      <c r="A396" s="332">
        <v>30392032</v>
      </c>
      <c r="B396" s="123">
        <v>31</v>
      </c>
      <c r="C396" s="119" t="s">
        <v>29</v>
      </c>
      <c r="F396" s="118" t="s">
        <v>161</v>
      </c>
      <c r="G396" s="333" t="s">
        <v>764</v>
      </c>
      <c r="H396" s="251" t="s">
        <v>98</v>
      </c>
      <c r="I396" s="118"/>
      <c r="J396" s="117">
        <v>2024</v>
      </c>
      <c r="K396" s="117">
        <v>14171</v>
      </c>
      <c r="L396" s="172">
        <v>433033</v>
      </c>
      <c r="M396" s="118" t="s">
        <v>177</v>
      </c>
      <c r="N396" s="121" t="s">
        <v>287</v>
      </c>
      <c r="O396" s="134">
        <v>0</v>
      </c>
      <c r="P396" s="134">
        <v>0</v>
      </c>
      <c r="Q396" s="134">
        <f t="shared" si="24"/>
        <v>0</v>
      </c>
      <c r="R396" s="186"/>
      <c r="S396" s="186"/>
      <c r="T396" s="134"/>
      <c r="U396" s="134"/>
      <c r="V396" s="134"/>
      <c r="W396" s="134"/>
      <c r="X396" s="134"/>
      <c r="Y396" s="134"/>
      <c r="Z396" s="134"/>
      <c r="AA396" s="134"/>
      <c r="AB396" s="134"/>
      <c r="AC396" s="134"/>
    </row>
    <row r="397" spans="1:29" ht="24">
      <c r="A397" s="123">
        <v>40065411</v>
      </c>
      <c r="B397" s="123">
        <v>22</v>
      </c>
      <c r="C397" s="119"/>
      <c r="F397" s="118" t="s">
        <v>161</v>
      </c>
      <c r="G397" s="272" t="s">
        <v>765</v>
      </c>
      <c r="H397" s="251" t="s">
        <v>103</v>
      </c>
      <c r="I397" s="118"/>
      <c r="J397" s="117">
        <v>2024</v>
      </c>
      <c r="K397" s="117">
        <v>14174</v>
      </c>
      <c r="L397" s="177">
        <v>180000</v>
      </c>
      <c r="M397" s="118" t="s">
        <v>1059</v>
      </c>
      <c r="N397" s="121" t="s">
        <v>354</v>
      </c>
      <c r="O397" s="341">
        <v>0</v>
      </c>
      <c r="P397" s="134">
        <v>0</v>
      </c>
      <c r="Q397" s="134">
        <f t="shared" ref="Q397:Q398" si="25">SUM(R397:AC397)</f>
        <v>0</v>
      </c>
      <c r="R397" s="134"/>
      <c r="S397" s="134"/>
      <c r="T397" s="134"/>
      <c r="U397" s="134"/>
      <c r="V397" s="134"/>
      <c r="W397" s="134"/>
      <c r="X397" s="134"/>
      <c r="Y397" s="134"/>
      <c r="Z397" s="134"/>
      <c r="AA397" s="134"/>
      <c r="AB397" s="134"/>
      <c r="AC397" s="134"/>
    </row>
    <row r="398" spans="1:29" ht="36">
      <c r="A398" s="332">
        <v>40064334</v>
      </c>
      <c r="B398" s="123" t="s">
        <v>691</v>
      </c>
      <c r="C398" s="119" t="s">
        <v>26</v>
      </c>
      <c r="F398" s="118" t="s">
        <v>161</v>
      </c>
      <c r="G398" s="333" t="s">
        <v>766</v>
      </c>
      <c r="H398" s="251" t="s">
        <v>103</v>
      </c>
      <c r="I398" s="118"/>
      <c r="J398" s="117">
        <v>2024</v>
      </c>
      <c r="K398" s="117">
        <v>14175</v>
      </c>
      <c r="L398" s="172">
        <v>194000</v>
      </c>
      <c r="M398" s="118" t="s">
        <v>399</v>
      </c>
      <c r="N398" s="121" t="s">
        <v>1057</v>
      </c>
      <c r="O398" s="134">
        <v>0</v>
      </c>
      <c r="P398" s="134">
        <v>0</v>
      </c>
      <c r="Q398" s="134">
        <f t="shared" si="25"/>
        <v>0</v>
      </c>
      <c r="R398" s="186"/>
      <c r="S398" s="186"/>
      <c r="T398" s="134"/>
      <c r="U398" s="134"/>
      <c r="V398" s="134"/>
      <c r="W398" s="134"/>
      <c r="X398" s="134"/>
      <c r="Y398" s="134"/>
      <c r="Z398" s="134"/>
      <c r="AA398" s="134"/>
      <c r="AB398" s="134"/>
      <c r="AC398" s="134"/>
    </row>
    <row r="399" spans="1:29" ht="36">
      <c r="A399" s="332">
        <v>40064855</v>
      </c>
      <c r="B399" s="286" t="s">
        <v>691</v>
      </c>
      <c r="C399" s="119" t="s">
        <v>26</v>
      </c>
      <c r="F399" s="118" t="s">
        <v>161</v>
      </c>
      <c r="G399" s="333" t="s">
        <v>767</v>
      </c>
      <c r="H399" s="251" t="s">
        <v>103</v>
      </c>
      <c r="I399" s="118"/>
      <c r="J399" s="117">
        <v>2024</v>
      </c>
      <c r="K399" s="117">
        <v>14177</v>
      </c>
      <c r="L399" s="172">
        <v>150000</v>
      </c>
      <c r="M399" s="118" t="s">
        <v>768</v>
      </c>
      <c r="N399" s="121" t="s">
        <v>325</v>
      </c>
      <c r="O399" s="134">
        <v>0</v>
      </c>
      <c r="P399" s="134">
        <v>0</v>
      </c>
      <c r="Q399" s="134">
        <f t="shared" ref="Q399:Q416" si="26">SUM(R399:AC399)</f>
        <v>0</v>
      </c>
      <c r="R399" s="186"/>
      <c r="S399" s="186"/>
      <c r="T399" s="134"/>
      <c r="U399" s="134"/>
      <c r="V399" s="134"/>
      <c r="W399" s="134"/>
      <c r="X399" s="134"/>
      <c r="Y399" s="134"/>
      <c r="Z399" s="134"/>
      <c r="AA399" s="134"/>
      <c r="AB399" s="134"/>
      <c r="AC399" s="134"/>
    </row>
    <row r="400" spans="1:29" ht="24">
      <c r="A400" s="332">
        <v>40064873</v>
      </c>
      <c r="B400" s="286" t="s">
        <v>691</v>
      </c>
      <c r="C400" s="119" t="s">
        <v>24</v>
      </c>
      <c r="F400" s="118" t="s">
        <v>161</v>
      </c>
      <c r="G400" s="333" t="s">
        <v>769</v>
      </c>
      <c r="H400" s="251" t="s">
        <v>103</v>
      </c>
      <c r="I400" s="118"/>
      <c r="J400" s="117">
        <v>2024</v>
      </c>
      <c r="K400" s="117">
        <v>14177</v>
      </c>
      <c r="L400" s="172">
        <v>150000</v>
      </c>
      <c r="M400" s="118" t="s">
        <v>770</v>
      </c>
      <c r="N400" s="121" t="s">
        <v>325</v>
      </c>
      <c r="O400" s="134">
        <v>0</v>
      </c>
      <c r="P400" s="134">
        <v>0</v>
      </c>
      <c r="Q400" s="134">
        <f t="shared" si="26"/>
        <v>0</v>
      </c>
      <c r="R400" s="186"/>
      <c r="S400" s="186"/>
      <c r="T400" s="134"/>
      <c r="U400" s="134"/>
      <c r="V400" s="134"/>
      <c r="W400" s="134"/>
      <c r="X400" s="134"/>
      <c r="Y400" s="134"/>
      <c r="Z400" s="134"/>
      <c r="AA400" s="134"/>
      <c r="AB400" s="134"/>
      <c r="AC400" s="134"/>
    </row>
    <row r="401" spans="1:29" ht="24">
      <c r="A401" s="332">
        <v>40064876</v>
      </c>
      <c r="B401" s="286" t="s">
        <v>691</v>
      </c>
      <c r="C401" s="119" t="s">
        <v>26</v>
      </c>
      <c r="F401" s="118" t="s">
        <v>161</v>
      </c>
      <c r="G401" s="333" t="s">
        <v>771</v>
      </c>
      <c r="H401" s="251" t="s">
        <v>103</v>
      </c>
      <c r="I401" s="118"/>
      <c r="J401" s="117">
        <v>2024</v>
      </c>
      <c r="K401" s="117">
        <v>14177</v>
      </c>
      <c r="L401" s="172">
        <v>135000</v>
      </c>
      <c r="M401" s="118" t="s">
        <v>772</v>
      </c>
      <c r="N401" s="121" t="s">
        <v>325</v>
      </c>
      <c r="O401" s="134">
        <v>0</v>
      </c>
      <c r="P401" s="134">
        <v>0</v>
      </c>
      <c r="Q401" s="134">
        <f t="shared" si="26"/>
        <v>0</v>
      </c>
      <c r="R401" s="186"/>
      <c r="S401" s="186"/>
      <c r="T401" s="134"/>
      <c r="U401" s="134"/>
      <c r="V401" s="134"/>
      <c r="W401" s="134"/>
      <c r="X401" s="134"/>
      <c r="Y401" s="134"/>
      <c r="Z401" s="134"/>
      <c r="AA401" s="134"/>
      <c r="AB401" s="134"/>
      <c r="AC401" s="134"/>
    </row>
    <row r="402" spans="1:29" ht="60">
      <c r="A402" s="332">
        <v>40064880</v>
      </c>
      <c r="B402" s="286" t="s">
        <v>691</v>
      </c>
      <c r="C402" s="119" t="s">
        <v>26</v>
      </c>
      <c r="F402" s="118" t="s">
        <v>161</v>
      </c>
      <c r="G402" s="333" t="s">
        <v>773</v>
      </c>
      <c r="H402" s="251" t="s">
        <v>103</v>
      </c>
      <c r="I402" s="118"/>
      <c r="J402" s="117">
        <v>2024</v>
      </c>
      <c r="K402" s="117">
        <v>14177</v>
      </c>
      <c r="L402" s="172">
        <v>150000</v>
      </c>
      <c r="M402" s="173" t="s">
        <v>311</v>
      </c>
      <c r="N402" s="121" t="s">
        <v>325</v>
      </c>
      <c r="O402" s="134">
        <v>0</v>
      </c>
      <c r="P402" s="134">
        <v>0</v>
      </c>
      <c r="Q402" s="134">
        <f t="shared" si="26"/>
        <v>0</v>
      </c>
      <c r="R402" s="186"/>
      <c r="S402" s="186"/>
      <c r="T402" s="134"/>
      <c r="U402" s="134"/>
      <c r="V402" s="134"/>
      <c r="W402" s="134"/>
      <c r="X402" s="134"/>
      <c r="Y402" s="134"/>
      <c r="Z402" s="134"/>
      <c r="AA402" s="134"/>
      <c r="AB402" s="134"/>
      <c r="AC402" s="134"/>
    </row>
    <row r="403" spans="1:29" ht="21" customHeight="1">
      <c r="A403" s="332">
        <v>40064857</v>
      </c>
      <c r="B403" s="286" t="s">
        <v>691</v>
      </c>
      <c r="C403" s="119" t="s">
        <v>26</v>
      </c>
      <c r="F403" s="118" t="s">
        <v>161</v>
      </c>
      <c r="G403" s="333" t="s">
        <v>774</v>
      </c>
      <c r="H403" s="251" t="s">
        <v>103</v>
      </c>
      <c r="I403" s="118"/>
      <c r="J403" s="117">
        <v>2024</v>
      </c>
      <c r="K403" s="117">
        <v>14177</v>
      </c>
      <c r="L403" s="172">
        <v>149983</v>
      </c>
      <c r="M403" s="118" t="s">
        <v>775</v>
      </c>
      <c r="N403" s="121" t="s">
        <v>325</v>
      </c>
      <c r="O403" s="134">
        <v>0</v>
      </c>
      <c r="P403" s="134">
        <v>0</v>
      </c>
      <c r="Q403" s="134">
        <f t="shared" si="26"/>
        <v>0</v>
      </c>
      <c r="R403" s="186"/>
      <c r="S403" s="186"/>
      <c r="T403" s="134"/>
      <c r="U403" s="134"/>
      <c r="V403" s="134"/>
      <c r="W403" s="134"/>
      <c r="X403" s="134"/>
      <c r="Y403" s="134"/>
      <c r="Z403" s="134"/>
      <c r="AA403" s="134"/>
      <c r="AB403" s="134"/>
      <c r="AC403" s="134"/>
    </row>
    <row r="404" spans="1:29" ht="36">
      <c r="A404" s="332">
        <v>40064858</v>
      </c>
      <c r="B404" s="286" t="s">
        <v>691</v>
      </c>
      <c r="C404" s="119" t="s">
        <v>26</v>
      </c>
      <c r="F404" s="118" t="s">
        <v>161</v>
      </c>
      <c r="G404" s="333" t="s">
        <v>776</v>
      </c>
      <c r="H404" s="251" t="s">
        <v>103</v>
      </c>
      <c r="I404" s="118"/>
      <c r="J404" s="117">
        <v>2024</v>
      </c>
      <c r="K404" s="117">
        <v>14177</v>
      </c>
      <c r="L404" s="172">
        <v>149746</v>
      </c>
      <c r="M404" s="118" t="s">
        <v>768</v>
      </c>
      <c r="N404" s="121" t="s">
        <v>325</v>
      </c>
      <c r="O404" s="134">
        <v>0</v>
      </c>
      <c r="P404" s="134">
        <v>0</v>
      </c>
      <c r="Q404" s="134">
        <f t="shared" si="26"/>
        <v>0</v>
      </c>
      <c r="R404" s="186"/>
      <c r="S404" s="186"/>
      <c r="T404" s="134"/>
      <c r="U404" s="134"/>
      <c r="V404" s="134"/>
      <c r="W404" s="134"/>
      <c r="X404" s="134"/>
      <c r="Y404" s="134"/>
      <c r="Z404" s="134"/>
      <c r="AA404" s="134"/>
      <c r="AB404" s="134"/>
      <c r="AC404" s="134"/>
    </row>
    <row r="405" spans="1:29" ht="24">
      <c r="A405" s="332">
        <v>40064890</v>
      </c>
      <c r="B405" s="286" t="s">
        <v>691</v>
      </c>
      <c r="C405" s="119" t="s">
        <v>24</v>
      </c>
      <c r="F405" s="118" t="s">
        <v>161</v>
      </c>
      <c r="G405" s="333" t="s">
        <v>777</v>
      </c>
      <c r="H405" s="251" t="s">
        <v>103</v>
      </c>
      <c r="I405" s="118"/>
      <c r="J405" s="117">
        <v>2024</v>
      </c>
      <c r="K405" s="117">
        <v>14177</v>
      </c>
      <c r="L405" s="172">
        <v>150000</v>
      </c>
      <c r="M405" s="118" t="s">
        <v>770</v>
      </c>
      <c r="N405" s="121" t="s">
        <v>325</v>
      </c>
      <c r="O405" s="134">
        <v>0</v>
      </c>
      <c r="P405" s="134">
        <v>0</v>
      </c>
      <c r="Q405" s="134">
        <f t="shared" si="26"/>
        <v>0</v>
      </c>
      <c r="R405" s="186"/>
      <c r="S405" s="186"/>
      <c r="T405" s="134"/>
      <c r="U405" s="134"/>
      <c r="V405" s="134"/>
      <c r="W405" s="134"/>
      <c r="X405" s="134"/>
      <c r="Y405" s="134"/>
      <c r="Z405" s="134"/>
      <c r="AA405" s="134"/>
      <c r="AB405" s="134"/>
      <c r="AC405" s="134"/>
    </row>
    <row r="406" spans="1:29" ht="24">
      <c r="A406" s="332">
        <v>40064892</v>
      </c>
      <c r="B406" s="286" t="s">
        <v>691</v>
      </c>
      <c r="C406" s="119" t="s">
        <v>24</v>
      </c>
      <c r="F406" s="118" t="s">
        <v>161</v>
      </c>
      <c r="G406" s="333" t="s">
        <v>778</v>
      </c>
      <c r="H406" s="251" t="s">
        <v>103</v>
      </c>
      <c r="I406" s="118"/>
      <c r="J406" s="117">
        <v>2024</v>
      </c>
      <c r="K406" s="117">
        <v>14177</v>
      </c>
      <c r="L406" s="172">
        <v>150000</v>
      </c>
      <c r="M406" s="118" t="s">
        <v>770</v>
      </c>
      <c r="N406" s="121" t="s">
        <v>325</v>
      </c>
      <c r="O406" s="134">
        <v>0</v>
      </c>
      <c r="P406" s="134">
        <v>0</v>
      </c>
      <c r="Q406" s="134">
        <f t="shared" si="26"/>
        <v>0</v>
      </c>
      <c r="R406" s="186"/>
      <c r="S406" s="186"/>
      <c r="T406" s="134"/>
      <c r="U406" s="134"/>
      <c r="V406" s="134"/>
      <c r="W406" s="134"/>
      <c r="X406" s="134"/>
      <c r="Y406" s="134"/>
      <c r="Z406" s="134"/>
      <c r="AA406" s="134"/>
      <c r="AB406" s="134"/>
      <c r="AC406" s="134"/>
    </row>
    <row r="407" spans="1:29" ht="24">
      <c r="A407" s="332">
        <v>40064862</v>
      </c>
      <c r="B407" s="286" t="s">
        <v>691</v>
      </c>
      <c r="C407" s="119" t="s">
        <v>26</v>
      </c>
      <c r="F407" s="118" t="s">
        <v>161</v>
      </c>
      <c r="G407" s="333" t="s">
        <v>779</v>
      </c>
      <c r="H407" s="251" t="s">
        <v>103</v>
      </c>
      <c r="I407" s="118"/>
      <c r="J407" s="117">
        <v>2024</v>
      </c>
      <c r="K407" s="117">
        <v>14177</v>
      </c>
      <c r="L407" s="172">
        <v>149750</v>
      </c>
      <c r="M407" s="118" t="s">
        <v>780</v>
      </c>
      <c r="N407" s="121" t="s">
        <v>325</v>
      </c>
      <c r="O407" s="134">
        <v>0</v>
      </c>
      <c r="P407" s="134">
        <v>0</v>
      </c>
      <c r="Q407" s="134">
        <f t="shared" si="26"/>
        <v>0</v>
      </c>
      <c r="R407" s="186"/>
      <c r="S407" s="186"/>
      <c r="T407" s="134"/>
      <c r="U407" s="134"/>
      <c r="V407" s="134"/>
      <c r="W407" s="134"/>
      <c r="X407" s="134"/>
      <c r="Y407" s="134"/>
      <c r="Z407" s="134"/>
      <c r="AA407" s="134"/>
      <c r="AB407" s="134"/>
      <c r="AC407" s="134"/>
    </row>
    <row r="408" spans="1:29" ht="36">
      <c r="A408" s="332">
        <v>40064893</v>
      </c>
      <c r="B408" s="286" t="s">
        <v>691</v>
      </c>
      <c r="C408" s="119" t="s">
        <v>26</v>
      </c>
      <c r="F408" s="118" t="s">
        <v>161</v>
      </c>
      <c r="G408" s="333" t="s">
        <v>781</v>
      </c>
      <c r="H408" s="251" t="s">
        <v>103</v>
      </c>
      <c r="I408" s="118"/>
      <c r="J408" s="117">
        <v>2024</v>
      </c>
      <c r="K408" s="117">
        <v>14177</v>
      </c>
      <c r="L408" s="172">
        <v>135000</v>
      </c>
      <c r="M408" s="118" t="s">
        <v>768</v>
      </c>
      <c r="N408" s="121" t="s">
        <v>325</v>
      </c>
      <c r="O408" s="134">
        <v>0</v>
      </c>
      <c r="P408" s="134">
        <v>0</v>
      </c>
      <c r="Q408" s="134">
        <f t="shared" si="26"/>
        <v>0</v>
      </c>
      <c r="R408" s="186"/>
      <c r="S408" s="186"/>
      <c r="T408" s="134"/>
      <c r="U408" s="134"/>
      <c r="V408" s="134"/>
      <c r="W408" s="134"/>
      <c r="X408" s="134"/>
      <c r="Y408" s="134"/>
      <c r="Z408" s="134"/>
      <c r="AA408" s="134"/>
      <c r="AB408" s="134"/>
      <c r="AC408" s="134"/>
    </row>
    <row r="409" spans="1:29" ht="24">
      <c r="A409" s="332">
        <v>40064864</v>
      </c>
      <c r="B409" s="286" t="s">
        <v>691</v>
      </c>
      <c r="C409" s="119" t="s">
        <v>26</v>
      </c>
      <c r="F409" s="118" t="s">
        <v>161</v>
      </c>
      <c r="G409" s="333" t="s">
        <v>782</v>
      </c>
      <c r="H409" s="251" t="s">
        <v>103</v>
      </c>
      <c r="I409" s="118"/>
      <c r="J409" s="117">
        <v>2024</v>
      </c>
      <c r="K409" s="117">
        <v>14177</v>
      </c>
      <c r="L409" s="172">
        <v>150000</v>
      </c>
      <c r="M409" s="118" t="s">
        <v>780</v>
      </c>
      <c r="N409" s="121" t="s">
        <v>325</v>
      </c>
      <c r="O409" s="134">
        <v>0</v>
      </c>
      <c r="P409" s="134">
        <v>0</v>
      </c>
      <c r="Q409" s="134">
        <f t="shared" si="26"/>
        <v>0</v>
      </c>
      <c r="R409" s="186"/>
      <c r="S409" s="186"/>
      <c r="T409" s="134"/>
      <c r="U409" s="134"/>
      <c r="V409" s="134"/>
      <c r="W409" s="134"/>
      <c r="X409" s="134"/>
      <c r="Y409" s="134"/>
      <c r="Z409" s="134"/>
      <c r="AA409" s="134"/>
      <c r="AB409" s="134"/>
      <c r="AC409" s="134"/>
    </row>
    <row r="410" spans="1:29" ht="24">
      <c r="A410" s="332">
        <v>40064894</v>
      </c>
      <c r="B410" s="286" t="s">
        <v>691</v>
      </c>
      <c r="C410" s="119" t="s">
        <v>24</v>
      </c>
      <c r="F410" s="118" t="s">
        <v>161</v>
      </c>
      <c r="G410" s="333" t="s">
        <v>783</v>
      </c>
      <c r="H410" s="251" t="s">
        <v>103</v>
      </c>
      <c r="I410" s="118"/>
      <c r="J410" s="117">
        <v>2024</v>
      </c>
      <c r="K410" s="117">
        <v>14177</v>
      </c>
      <c r="L410" s="172">
        <v>150000</v>
      </c>
      <c r="M410" s="118" t="s">
        <v>770</v>
      </c>
      <c r="N410" s="121" t="s">
        <v>325</v>
      </c>
      <c r="O410" s="134">
        <v>0</v>
      </c>
      <c r="P410" s="134">
        <v>0</v>
      </c>
      <c r="Q410" s="134">
        <f t="shared" si="26"/>
        <v>0</v>
      </c>
      <c r="R410" s="186"/>
      <c r="S410" s="186"/>
      <c r="T410" s="134"/>
      <c r="U410" s="134"/>
      <c r="V410" s="134"/>
      <c r="W410" s="134"/>
      <c r="X410" s="134"/>
      <c r="Y410" s="134"/>
      <c r="Z410" s="134"/>
      <c r="AA410" s="134"/>
      <c r="AB410" s="134"/>
      <c r="AC410" s="134"/>
    </row>
    <row r="411" spans="1:29" ht="24">
      <c r="A411" s="332">
        <v>40064868</v>
      </c>
      <c r="B411" s="286" t="s">
        <v>691</v>
      </c>
      <c r="C411" s="119" t="s">
        <v>26</v>
      </c>
      <c r="F411" s="118" t="s">
        <v>161</v>
      </c>
      <c r="G411" s="333" t="s">
        <v>784</v>
      </c>
      <c r="H411" s="251" t="s">
        <v>103</v>
      </c>
      <c r="I411" s="118"/>
      <c r="J411" s="117">
        <v>2024</v>
      </c>
      <c r="K411" s="117">
        <v>14177</v>
      </c>
      <c r="L411" s="172">
        <v>148800</v>
      </c>
      <c r="M411" s="118" t="s">
        <v>780</v>
      </c>
      <c r="N411" s="121" t="s">
        <v>325</v>
      </c>
      <c r="O411" s="134">
        <v>0</v>
      </c>
      <c r="P411" s="134">
        <v>0</v>
      </c>
      <c r="Q411" s="134">
        <f t="shared" si="26"/>
        <v>0</v>
      </c>
      <c r="R411" s="186"/>
      <c r="S411" s="186"/>
      <c r="T411" s="134"/>
      <c r="U411" s="134"/>
      <c r="V411" s="134"/>
      <c r="W411" s="134"/>
      <c r="X411" s="134"/>
      <c r="Y411" s="134"/>
      <c r="Z411" s="134"/>
      <c r="AA411" s="134"/>
      <c r="AB411" s="134"/>
      <c r="AC411" s="134"/>
    </row>
    <row r="412" spans="1:29" ht="36">
      <c r="A412" s="332">
        <v>40064896</v>
      </c>
      <c r="B412" s="286" t="s">
        <v>691</v>
      </c>
      <c r="C412" s="119" t="s">
        <v>26</v>
      </c>
      <c r="F412" s="118" t="s">
        <v>161</v>
      </c>
      <c r="G412" s="333" t="s">
        <v>785</v>
      </c>
      <c r="H412" s="251" t="s">
        <v>103</v>
      </c>
      <c r="I412" s="118"/>
      <c r="J412" s="117">
        <v>2024</v>
      </c>
      <c r="K412" s="117">
        <v>14177</v>
      </c>
      <c r="L412" s="172">
        <v>150000</v>
      </c>
      <c r="M412" s="118" t="s">
        <v>786</v>
      </c>
      <c r="N412" s="121" t="s">
        <v>325</v>
      </c>
      <c r="O412" s="134">
        <v>0</v>
      </c>
      <c r="P412" s="134">
        <v>0</v>
      </c>
      <c r="Q412" s="134">
        <f t="shared" si="26"/>
        <v>0</v>
      </c>
      <c r="R412" s="186"/>
      <c r="S412" s="186"/>
      <c r="T412" s="134"/>
      <c r="U412" s="134"/>
      <c r="V412" s="134"/>
      <c r="W412" s="134"/>
      <c r="X412" s="134"/>
      <c r="Y412" s="134"/>
      <c r="Z412" s="134"/>
      <c r="AA412" s="134"/>
      <c r="AB412" s="134"/>
      <c r="AC412" s="134"/>
    </row>
    <row r="413" spans="1:29" ht="24">
      <c r="A413" s="332">
        <v>40064869</v>
      </c>
      <c r="B413" s="286" t="s">
        <v>691</v>
      </c>
      <c r="C413" s="119" t="s">
        <v>26</v>
      </c>
      <c r="F413" s="118" t="s">
        <v>161</v>
      </c>
      <c r="G413" s="333" t="s">
        <v>787</v>
      </c>
      <c r="H413" s="251" t="s">
        <v>103</v>
      </c>
      <c r="I413" s="118"/>
      <c r="J413" s="117">
        <v>2024</v>
      </c>
      <c r="K413" s="117">
        <v>14177</v>
      </c>
      <c r="L413" s="172">
        <v>149100</v>
      </c>
      <c r="M413" s="118" t="s">
        <v>780</v>
      </c>
      <c r="N413" s="121" t="s">
        <v>325</v>
      </c>
      <c r="O413" s="134">
        <v>0</v>
      </c>
      <c r="P413" s="134">
        <v>0</v>
      </c>
      <c r="Q413" s="134">
        <f t="shared" si="26"/>
        <v>0</v>
      </c>
      <c r="R413" s="186"/>
      <c r="S413" s="186"/>
      <c r="T413" s="134"/>
      <c r="U413" s="134"/>
      <c r="V413" s="134"/>
      <c r="W413" s="134"/>
      <c r="X413" s="134"/>
      <c r="Y413" s="134"/>
      <c r="Z413" s="134"/>
      <c r="AA413" s="134"/>
      <c r="AB413" s="134"/>
      <c r="AC413" s="134"/>
    </row>
    <row r="414" spans="1:29" ht="24">
      <c r="A414" s="332">
        <v>40064871</v>
      </c>
      <c r="B414" s="286" t="s">
        <v>691</v>
      </c>
      <c r="C414" s="119" t="s">
        <v>26</v>
      </c>
      <c r="F414" s="118" t="s">
        <v>161</v>
      </c>
      <c r="G414" s="333" t="s">
        <v>788</v>
      </c>
      <c r="H414" s="251" t="s">
        <v>103</v>
      </c>
      <c r="I414" s="118"/>
      <c r="J414" s="117">
        <v>2024</v>
      </c>
      <c r="K414" s="117">
        <v>14177</v>
      </c>
      <c r="L414" s="172">
        <v>150000</v>
      </c>
      <c r="M414" s="118" t="s">
        <v>780</v>
      </c>
      <c r="N414" s="121" t="s">
        <v>325</v>
      </c>
      <c r="O414" s="134">
        <v>0</v>
      </c>
      <c r="P414" s="134">
        <v>0</v>
      </c>
      <c r="Q414" s="134">
        <f t="shared" si="26"/>
        <v>0</v>
      </c>
      <c r="R414" s="186"/>
      <c r="S414" s="186"/>
      <c r="T414" s="134"/>
      <c r="U414" s="134"/>
      <c r="V414" s="134"/>
      <c r="W414" s="134"/>
      <c r="X414" s="134"/>
      <c r="Y414" s="134"/>
      <c r="Z414" s="134"/>
      <c r="AA414" s="134"/>
      <c r="AB414" s="134"/>
      <c r="AC414" s="134"/>
    </row>
    <row r="415" spans="1:29" ht="72">
      <c r="A415" s="123">
        <v>40064773</v>
      </c>
      <c r="B415" s="119" t="s">
        <v>789</v>
      </c>
      <c r="C415" s="119" t="s">
        <v>26</v>
      </c>
      <c r="D415" s="123"/>
      <c r="E415" s="119"/>
      <c r="F415" s="343" t="s">
        <v>161</v>
      </c>
      <c r="G415" s="285" t="s">
        <v>790</v>
      </c>
      <c r="H415" s="251" t="s">
        <v>103</v>
      </c>
      <c r="I415" s="118"/>
      <c r="J415" s="117">
        <v>2024</v>
      </c>
      <c r="K415" s="117">
        <v>14217</v>
      </c>
      <c r="L415" s="172">
        <v>1247460.9240000001</v>
      </c>
      <c r="M415" s="173" t="s">
        <v>311</v>
      </c>
      <c r="N415" s="121" t="s">
        <v>325</v>
      </c>
      <c r="O415" s="134">
        <v>0</v>
      </c>
      <c r="P415" s="134">
        <v>0</v>
      </c>
      <c r="Q415" s="134">
        <f t="shared" si="26"/>
        <v>0</v>
      </c>
      <c r="R415" s="134"/>
      <c r="S415" s="134"/>
      <c r="T415" s="134"/>
      <c r="U415" s="134"/>
      <c r="V415" s="134"/>
      <c r="W415" s="134"/>
      <c r="X415" s="134"/>
      <c r="Y415" s="134"/>
      <c r="Z415" s="134"/>
      <c r="AA415" s="134"/>
      <c r="AB415" s="134"/>
      <c r="AC415" s="134"/>
    </row>
    <row r="416" spans="1:29" ht="36">
      <c r="A416" s="332">
        <v>40055887</v>
      </c>
      <c r="B416" s="286" t="s">
        <v>629</v>
      </c>
      <c r="C416" s="119" t="s">
        <v>26</v>
      </c>
      <c r="F416" s="118" t="s">
        <v>161</v>
      </c>
      <c r="G416" s="333" t="s">
        <v>791</v>
      </c>
      <c r="H416" s="251" t="s">
        <v>90</v>
      </c>
      <c r="I416" s="118"/>
      <c r="J416" s="117">
        <v>2024</v>
      </c>
      <c r="K416" s="117">
        <v>14220</v>
      </c>
      <c r="L416" s="172">
        <v>136850</v>
      </c>
      <c r="M416" s="334" t="s">
        <v>753</v>
      </c>
      <c r="N416" s="121" t="s">
        <v>192</v>
      </c>
      <c r="O416" s="134">
        <v>0</v>
      </c>
      <c r="P416" s="134">
        <v>0</v>
      </c>
      <c r="Q416" s="134">
        <f t="shared" si="26"/>
        <v>0</v>
      </c>
      <c r="R416" s="134"/>
      <c r="S416" s="134"/>
      <c r="T416" s="134"/>
      <c r="U416" s="134"/>
      <c r="V416" s="134"/>
      <c r="W416" s="134"/>
      <c r="X416" s="134"/>
      <c r="Y416" s="134"/>
      <c r="Z416" s="134"/>
      <c r="AA416" s="134"/>
      <c r="AB416" s="134"/>
      <c r="AC416" s="134"/>
    </row>
    <row r="417" spans="1:29" ht="24">
      <c r="A417" s="332">
        <v>40046209</v>
      </c>
      <c r="B417" s="286">
        <v>31</v>
      </c>
      <c r="C417" s="119" t="s">
        <v>29</v>
      </c>
      <c r="F417" s="118" t="s">
        <v>161</v>
      </c>
      <c r="G417" s="346" t="s">
        <v>792</v>
      </c>
      <c r="H417" s="251" t="s">
        <v>92</v>
      </c>
      <c r="J417" s="117">
        <v>2024</v>
      </c>
      <c r="K417" s="117">
        <v>14246</v>
      </c>
      <c r="L417" s="172">
        <v>620790</v>
      </c>
      <c r="N417" s="121" t="s">
        <v>325</v>
      </c>
      <c r="O417" s="134">
        <v>0</v>
      </c>
      <c r="P417" s="134">
        <v>0</v>
      </c>
      <c r="Q417" s="134">
        <f t="shared" ref="Q417" si="27">SUM(R417:AC417)</f>
        <v>0</v>
      </c>
      <c r="R417" s="134"/>
      <c r="S417" s="134"/>
      <c r="T417" s="134"/>
      <c r="U417" s="134"/>
      <c r="V417" s="134"/>
      <c r="W417" s="134"/>
      <c r="X417" s="134"/>
      <c r="Y417" s="134"/>
      <c r="Z417" s="134"/>
      <c r="AA417" s="134"/>
      <c r="AB417" s="134"/>
      <c r="AC417" s="134"/>
    </row>
    <row r="418" spans="1:29" ht="48">
      <c r="A418" s="332">
        <v>40046616</v>
      </c>
      <c r="B418" s="286">
        <v>33</v>
      </c>
      <c r="C418" s="119" t="s">
        <v>26</v>
      </c>
      <c r="F418" s="118" t="s">
        <v>161</v>
      </c>
      <c r="G418" s="345" t="s">
        <v>793</v>
      </c>
      <c r="H418" s="251" t="s">
        <v>103</v>
      </c>
      <c r="J418" s="117">
        <v>2024</v>
      </c>
      <c r="K418" s="117">
        <v>14255</v>
      </c>
      <c r="L418" s="172">
        <v>400000</v>
      </c>
      <c r="N418" s="121" t="s">
        <v>325</v>
      </c>
      <c r="O418" s="134">
        <v>0</v>
      </c>
      <c r="P418" s="134">
        <v>0</v>
      </c>
      <c r="Q418" s="134">
        <f t="shared" ref="Q418:Q429" si="28">SUM(R418:AC418)</f>
        <v>0</v>
      </c>
      <c r="R418" s="134"/>
      <c r="S418" s="134"/>
      <c r="T418" s="134"/>
      <c r="U418" s="134"/>
      <c r="V418" s="134"/>
      <c r="W418" s="134"/>
      <c r="X418" s="134"/>
      <c r="Y418" s="134"/>
      <c r="Z418" s="134"/>
      <c r="AA418" s="134"/>
      <c r="AB418" s="134"/>
      <c r="AC418" s="134"/>
    </row>
    <row r="419" spans="1:29" ht="60">
      <c r="A419" s="332">
        <v>40058908</v>
      </c>
      <c r="B419" s="286">
        <v>33</v>
      </c>
      <c r="C419" s="119" t="s">
        <v>26</v>
      </c>
      <c r="F419" s="118" t="s">
        <v>161</v>
      </c>
      <c r="G419" s="345" t="s">
        <v>794</v>
      </c>
      <c r="H419" s="251" t="s">
        <v>103</v>
      </c>
      <c r="J419" s="117">
        <v>2024</v>
      </c>
      <c r="K419" s="117">
        <v>14262</v>
      </c>
      <c r="L419" s="172">
        <v>300000</v>
      </c>
      <c r="N419" s="121" t="s">
        <v>325</v>
      </c>
      <c r="O419" s="134">
        <v>0</v>
      </c>
      <c r="P419" s="134">
        <v>0</v>
      </c>
      <c r="Q419" s="134">
        <f t="shared" si="28"/>
        <v>0</v>
      </c>
      <c r="R419" s="134"/>
      <c r="S419" s="134"/>
      <c r="T419" s="134"/>
      <c r="U419" s="134"/>
      <c r="V419" s="134"/>
      <c r="W419" s="134"/>
      <c r="X419" s="134"/>
      <c r="Y419" s="134"/>
      <c r="Z419" s="134"/>
      <c r="AA419" s="134"/>
      <c r="AB419" s="134"/>
      <c r="AC419" s="134"/>
    </row>
    <row r="420" spans="1:29" ht="60">
      <c r="A420" s="332">
        <v>40057842</v>
      </c>
      <c r="B420" s="286">
        <v>33</v>
      </c>
      <c r="C420" s="119" t="s">
        <v>26</v>
      </c>
      <c r="F420" s="118" t="s">
        <v>161</v>
      </c>
      <c r="G420" s="345" t="s">
        <v>795</v>
      </c>
      <c r="H420" s="251" t="s">
        <v>103</v>
      </c>
      <c r="J420" s="117">
        <v>2024</v>
      </c>
      <c r="K420" s="117">
        <v>14286</v>
      </c>
      <c r="L420" s="172">
        <v>2905494</v>
      </c>
      <c r="N420" s="121" t="s">
        <v>796</v>
      </c>
      <c r="O420" s="134">
        <v>0</v>
      </c>
      <c r="P420" s="134">
        <v>0</v>
      </c>
      <c r="Q420" s="134">
        <f t="shared" si="28"/>
        <v>0</v>
      </c>
      <c r="R420" s="134"/>
      <c r="S420" s="134"/>
      <c r="T420" s="134"/>
      <c r="U420" s="134"/>
      <c r="V420" s="134"/>
      <c r="W420" s="134"/>
      <c r="X420" s="134"/>
      <c r="Y420" s="134"/>
      <c r="Z420" s="134"/>
      <c r="AA420" s="134"/>
      <c r="AB420" s="134"/>
      <c r="AC420" s="134"/>
    </row>
    <row r="421" spans="1:29" ht="36">
      <c r="A421" s="332">
        <v>40048140</v>
      </c>
      <c r="B421" s="286">
        <v>29</v>
      </c>
      <c r="C421" s="119" t="s">
        <v>26</v>
      </c>
      <c r="F421" s="118" t="s">
        <v>161</v>
      </c>
      <c r="G421" s="355" t="s">
        <v>797</v>
      </c>
      <c r="H421" s="251" t="s">
        <v>103</v>
      </c>
      <c r="J421" s="117">
        <v>2024</v>
      </c>
      <c r="K421" s="117">
        <v>14296</v>
      </c>
      <c r="L421" s="172">
        <v>1098251</v>
      </c>
      <c r="N421" s="121" t="s">
        <v>829</v>
      </c>
      <c r="O421" s="134">
        <v>0</v>
      </c>
      <c r="P421" s="134">
        <v>0</v>
      </c>
      <c r="Q421" s="134">
        <f t="shared" si="28"/>
        <v>0</v>
      </c>
      <c r="R421" s="134"/>
      <c r="S421" s="134"/>
      <c r="T421" s="134"/>
      <c r="U421" s="134"/>
      <c r="V421" s="134"/>
      <c r="W421" s="134"/>
      <c r="X421" s="134"/>
      <c r="Y421" s="134"/>
      <c r="Z421" s="134"/>
      <c r="AA421" s="134"/>
      <c r="AB421" s="134"/>
      <c r="AC421" s="134"/>
    </row>
    <row r="422" spans="1:29" ht="36">
      <c r="A422" s="332">
        <v>40048325</v>
      </c>
      <c r="B422" s="286">
        <v>29</v>
      </c>
      <c r="C422" s="119" t="s">
        <v>26</v>
      </c>
      <c r="F422" s="118" t="s">
        <v>161</v>
      </c>
      <c r="G422" s="345" t="s">
        <v>798</v>
      </c>
      <c r="H422" s="251" t="s">
        <v>99</v>
      </c>
      <c r="J422" s="117">
        <v>2024</v>
      </c>
      <c r="K422" s="117">
        <v>14297</v>
      </c>
      <c r="L422" s="172">
        <v>334075</v>
      </c>
      <c r="N422" s="121" t="s">
        <v>591</v>
      </c>
      <c r="O422" s="134">
        <v>0</v>
      </c>
      <c r="P422" s="134">
        <v>0</v>
      </c>
      <c r="Q422" s="134">
        <f t="shared" si="28"/>
        <v>0</v>
      </c>
      <c r="R422" s="134"/>
      <c r="S422" s="134"/>
      <c r="T422" s="134"/>
      <c r="U422" s="134"/>
      <c r="V422" s="134"/>
      <c r="W422" s="134"/>
      <c r="X422" s="134"/>
      <c r="Y422" s="134"/>
      <c r="Z422" s="134"/>
      <c r="AA422" s="134"/>
      <c r="AB422" s="134"/>
      <c r="AC422" s="134"/>
    </row>
    <row r="423" spans="1:29" ht="36">
      <c r="A423" s="332">
        <v>40056498</v>
      </c>
      <c r="B423" s="286">
        <v>29</v>
      </c>
      <c r="C423" s="119" t="s">
        <v>26</v>
      </c>
      <c r="F423" s="118" t="s">
        <v>161</v>
      </c>
      <c r="G423" s="345" t="s">
        <v>799</v>
      </c>
      <c r="H423" s="251" t="s">
        <v>87</v>
      </c>
      <c r="J423" s="117">
        <v>2024</v>
      </c>
      <c r="K423" s="117">
        <v>14298</v>
      </c>
      <c r="L423" s="172">
        <v>699006</v>
      </c>
      <c r="N423" s="121" t="s">
        <v>354</v>
      </c>
      <c r="O423" s="134">
        <v>0</v>
      </c>
      <c r="P423" s="134">
        <v>0</v>
      </c>
      <c r="Q423" s="134">
        <f t="shared" si="28"/>
        <v>0</v>
      </c>
      <c r="R423" s="134"/>
      <c r="S423" s="134"/>
      <c r="T423" s="134"/>
      <c r="U423" s="134"/>
      <c r="V423" s="134"/>
      <c r="W423" s="134"/>
      <c r="X423" s="134"/>
      <c r="Y423" s="134"/>
      <c r="Z423" s="134"/>
      <c r="AA423" s="134"/>
      <c r="AB423" s="134"/>
      <c r="AC423" s="134"/>
    </row>
    <row r="424" spans="1:29" ht="36">
      <c r="A424" s="332">
        <v>40049810</v>
      </c>
      <c r="B424" s="286" t="s">
        <v>678</v>
      </c>
      <c r="C424" s="119" t="s">
        <v>29</v>
      </c>
      <c r="F424" s="118" t="s">
        <v>161</v>
      </c>
      <c r="G424" s="345" t="s">
        <v>800</v>
      </c>
      <c r="H424" s="251" t="s">
        <v>100</v>
      </c>
      <c r="J424" s="117">
        <v>2024</v>
      </c>
      <c r="K424" s="117">
        <v>14306</v>
      </c>
      <c r="L424" s="172">
        <v>7867454</v>
      </c>
      <c r="N424" s="121" t="s">
        <v>325</v>
      </c>
      <c r="O424" s="134">
        <v>0</v>
      </c>
      <c r="P424" s="134">
        <v>0</v>
      </c>
      <c r="Q424" s="134">
        <f t="shared" si="28"/>
        <v>0</v>
      </c>
      <c r="R424" s="134"/>
      <c r="S424" s="134"/>
      <c r="T424" s="134"/>
      <c r="U424" s="134"/>
      <c r="V424" s="134"/>
      <c r="W424" s="134"/>
      <c r="X424" s="134"/>
      <c r="Y424" s="134"/>
      <c r="Z424" s="134"/>
      <c r="AA424" s="134"/>
      <c r="AB424" s="134"/>
      <c r="AC424" s="134"/>
    </row>
    <row r="425" spans="1:29" ht="24">
      <c r="A425" s="332">
        <v>40046278</v>
      </c>
      <c r="B425" s="286">
        <v>29</v>
      </c>
      <c r="C425" s="119" t="s">
        <v>26</v>
      </c>
      <c r="F425" s="118" t="s">
        <v>161</v>
      </c>
      <c r="G425" s="345" t="s">
        <v>801</v>
      </c>
      <c r="H425" s="354" t="s">
        <v>84</v>
      </c>
      <c r="J425" s="117">
        <v>2024</v>
      </c>
      <c r="K425" s="117">
        <v>14306</v>
      </c>
      <c r="L425" s="172">
        <v>819016</v>
      </c>
      <c r="N425" s="121" t="s">
        <v>354</v>
      </c>
      <c r="O425" s="134">
        <v>0</v>
      </c>
      <c r="P425" s="134">
        <v>0</v>
      </c>
      <c r="Q425" s="134">
        <f t="shared" si="28"/>
        <v>0</v>
      </c>
      <c r="R425" s="134"/>
      <c r="S425" s="134"/>
      <c r="T425" s="134"/>
      <c r="U425" s="134"/>
      <c r="V425" s="134"/>
      <c r="W425" s="134"/>
      <c r="X425" s="134"/>
      <c r="Y425" s="134"/>
      <c r="Z425" s="134"/>
      <c r="AA425" s="134"/>
      <c r="AB425" s="134"/>
      <c r="AC425" s="134"/>
    </row>
    <row r="426" spans="1:29" ht="24">
      <c r="A426" s="332">
        <v>40059551</v>
      </c>
      <c r="B426" s="286" t="s">
        <v>678</v>
      </c>
      <c r="C426" s="119" t="s">
        <v>29</v>
      </c>
      <c r="F426" s="118" t="s">
        <v>161</v>
      </c>
      <c r="G426" s="345" t="s">
        <v>802</v>
      </c>
      <c r="H426" s="354" t="s">
        <v>84</v>
      </c>
      <c r="J426" s="117">
        <v>2024</v>
      </c>
      <c r="K426" s="117">
        <v>14306</v>
      </c>
      <c r="L426" s="172">
        <v>212407</v>
      </c>
      <c r="N426" s="121" t="s">
        <v>325</v>
      </c>
      <c r="O426" s="134">
        <v>0</v>
      </c>
      <c r="P426" s="134">
        <v>0</v>
      </c>
      <c r="Q426" s="134">
        <f t="shared" si="28"/>
        <v>0</v>
      </c>
      <c r="R426" s="134"/>
      <c r="S426" s="134"/>
      <c r="T426" s="134"/>
      <c r="U426" s="134"/>
      <c r="V426" s="134"/>
      <c r="W426" s="134"/>
      <c r="X426" s="134"/>
      <c r="Y426" s="134"/>
      <c r="Z426" s="134"/>
      <c r="AA426" s="134"/>
      <c r="AB426" s="134"/>
      <c r="AC426" s="134"/>
    </row>
    <row r="427" spans="1:29" ht="24">
      <c r="A427" s="332">
        <v>40066193</v>
      </c>
      <c r="B427" s="286" t="s">
        <v>691</v>
      </c>
      <c r="C427" s="119" t="s">
        <v>26</v>
      </c>
      <c r="F427" s="118" t="s">
        <v>161</v>
      </c>
      <c r="G427" s="333" t="s">
        <v>803</v>
      </c>
      <c r="H427" s="251" t="s">
        <v>98</v>
      </c>
      <c r="J427" s="117">
        <v>2024</v>
      </c>
      <c r="K427" s="117">
        <v>14315</v>
      </c>
      <c r="L427" s="172">
        <v>3040906</v>
      </c>
      <c r="N427" s="121" t="s">
        <v>354</v>
      </c>
      <c r="O427" s="134">
        <v>0</v>
      </c>
      <c r="P427" s="134">
        <v>0</v>
      </c>
      <c r="Q427" s="134">
        <f t="shared" si="28"/>
        <v>0</v>
      </c>
      <c r="R427" s="134"/>
      <c r="S427" s="134"/>
      <c r="T427" s="134"/>
      <c r="U427" s="134"/>
      <c r="V427" s="134"/>
      <c r="W427" s="134"/>
      <c r="X427" s="134"/>
      <c r="Y427" s="134"/>
      <c r="Z427" s="134"/>
      <c r="AA427" s="134"/>
      <c r="AB427" s="134"/>
      <c r="AC427" s="134"/>
    </row>
    <row r="428" spans="1:29" ht="24">
      <c r="A428" s="332">
        <v>40066219</v>
      </c>
      <c r="B428" s="286" t="s">
        <v>691</v>
      </c>
      <c r="C428" s="119" t="s">
        <v>26</v>
      </c>
      <c r="F428" s="118" t="s">
        <v>161</v>
      </c>
      <c r="G428" s="333" t="s">
        <v>804</v>
      </c>
      <c r="H428" s="251" t="s">
        <v>90</v>
      </c>
      <c r="J428" s="117">
        <v>2024</v>
      </c>
      <c r="K428" s="117">
        <v>14315</v>
      </c>
      <c r="L428" s="172">
        <v>1026814</v>
      </c>
      <c r="N428" s="121" t="s">
        <v>354</v>
      </c>
      <c r="O428" s="134">
        <v>0</v>
      </c>
      <c r="P428" s="134">
        <v>0</v>
      </c>
      <c r="Q428" s="134">
        <f t="shared" ref="Q428" si="29">SUM(R428:AC428)</f>
        <v>0</v>
      </c>
      <c r="R428" s="134"/>
      <c r="S428" s="134"/>
      <c r="T428" s="134"/>
      <c r="U428" s="134"/>
      <c r="V428" s="134"/>
      <c r="W428" s="134"/>
      <c r="X428" s="134"/>
      <c r="Y428" s="134"/>
      <c r="Z428" s="134"/>
      <c r="AA428" s="134"/>
      <c r="AB428" s="134"/>
      <c r="AC428" s="134"/>
    </row>
    <row r="429" spans="1:29" ht="30.75" customHeight="1">
      <c r="A429" s="332">
        <v>40066220</v>
      </c>
      <c r="B429" s="286">
        <v>33</v>
      </c>
      <c r="C429" s="119" t="s">
        <v>26</v>
      </c>
      <c r="F429" s="118" t="s">
        <v>161</v>
      </c>
      <c r="G429" s="333" t="s">
        <v>805</v>
      </c>
      <c r="H429" s="251" t="s">
        <v>98</v>
      </c>
      <c r="J429" s="117">
        <v>2024</v>
      </c>
      <c r="K429" s="117">
        <v>14334</v>
      </c>
      <c r="L429" s="172">
        <v>2212404</v>
      </c>
      <c r="N429" s="121" t="s">
        <v>354</v>
      </c>
      <c r="O429" s="134">
        <v>0</v>
      </c>
      <c r="P429" s="134">
        <v>0</v>
      </c>
      <c r="Q429" s="134">
        <f t="shared" si="28"/>
        <v>0</v>
      </c>
      <c r="R429" s="134"/>
      <c r="S429" s="134"/>
      <c r="T429" s="134"/>
      <c r="U429" s="134"/>
      <c r="V429" s="134"/>
      <c r="W429" s="134"/>
      <c r="X429" s="134"/>
      <c r="Y429" s="134"/>
      <c r="Z429" s="134"/>
      <c r="AA429" s="134"/>
      <c r="AB429" s="134"/>
      <c r="AC429" s="134"/>
    </row>
    <row r="430" spans="1:29" ht="44.25" customHeight="1">
      <c r="A430" s="332">
        <v>40054846</v>
      </c>
      <c r="B430" s="286" t="s">
        <v>691</v>
      </c>
      <c r="C430" s="286"/>
      <c r="D430" s="286"/>
      <c r="E430" s="329"/>
      <c r="F430" s="118" t="s">
        <v>161</v>
      </c>
      <c r="G430" s="333" t="s">
        <v>806</v>
      </c>
      <c r="H430" s="251" t="s">
        <v>103</v>
      </c>
      <c r="J430" s="117">
        <v>2024</v>
      </c>
      <c r="K430" s="117">
        <v>14345</v>
      </c>
      <c r="L430" s="172">
        <v>6054133</v>
      </c>
      <c r="N430" s="121" t="s">
        <v>796</v>
      </c>
      <c r="O430" s="134">
        <v>0</v>
      </c>
      <c r="P430" s="134">
        <v>0</v>
      </c>
      <c r="Q430" s="134">
        <f t="shared" ref="Q430:Q432" si="30">SUM(R430:AC430)</f>
        <v>0</v>
      </c>
      <c r="R430" s="134"/>
      <c r="S430" s="134"/>
      <c r="T430" s="134"/>
      <c r="U430" s="134"/>
      <c r="V430" s="134"/>
      <c r="W430" s="134"/>
      <c r="X430" s="134"/>
      <c r="Y430" s="134"/>
      <c r="Z430" s="134"/>
      <c r="AA430" s="134"/>
      <c r="AB430" s="134"/>
      <c r="AC430" s="134"/>
    </row>
    <row r="431" spans="1:29" ht="45.75" customHeight="1">
      <c r="A431" s="332">
        <v>40066608</v>
      </c>
      <c r="B431" s="286" t="s">
        <v>789</v>
      </c>
      <c r="C431" s="286" t="s">
        <v>26</v>
      </c>
      <c r="D431" s="286" t="s">
        <v>807</v>
      </c>
      <c r="E431" s="329"/>
      <c r="F431" s="118" t="s">
        <v>161</v>
      </c>
      <c r="G431" s="333" t="s">
        <v>808</v>
      </c>
      <c r="H431" s="251" t="s">
        <v>103</v>
      </c>
      <c r="J431" s="117">
        <v>2024</v>
      </c>
      <c r="K431" s="117">
        <v>14383</v>
      </c>
      <c r="L431" s="172">
        <v>4530510</v>
      </c>
      <c r="N431" s="121" t="s">
        <v>796</v>
      </c>
      <c r="O431" s="134">
        <v>0</v>
      </c>
      <c r="P431" s="134">
        <v>0</v>
      </c>
      <c r="Q431" s="134">
        <f t="shared" si="30"/>
        <v>0</v>
      </c>
      <c r="R431" s="134"/>
      <c r="S431" s="134"/>
      <c r="T431" s="134"/>
      <c r="U431" s="134"/>
      <c r="V431" s="134"/>
      <c r="W431" s="134"/>
      <c r="X431" s="134"/>
      <c r="Y431" s="134"/>
      <c r="Z431" s="134"/>
      <c r="AA431" s="134"/>
      <c r="AB431" s="134"/>
      <c r="AC431" s="134"/>
    </row>
    <row r="432" spans="1:29" ht="42.75" customHeight="1">
      <c r="A432" s="332">
        <v>40053013</v>
      </c>
      <c r="B432" s="286" t="s">
        <v>629</v>
      </c>
      <c r="C432" s="286" t="s">
        <v>37</v>
      </c>
      <c r="D432" s="286"/>
      <c r="E432" s="329"/>
      <c r="F432" s="118" t="s">
        <v>161</v>
      </c>
      <c r="G432" s="333" t="s">
        <v>809</v>
      </c>
      <c r="H432" s="251" t="s">
        <v>83</v>
      </c>
      <c r="J432" s="117">
        <v>2024</v>
      </c>
      <c r="K432" s="117">
        <v>14393</v>
      </c>
      <c r="L432" s="172">
        <v>218983</v>
      </c>
      <c r="N432" s="121" t="s">
        <v>354</v>
      </c>
      <c r="O432" s="134">
        <v>0</v>
      </c>
      <c r="P432" s="134">
        <v>0</v>
      </c>
      <c r="Q432" s="134">
        <f t="shared" si="30"/>
        <v>0</v>
      </c>
      <c r="R432" s="134"/>
      <c r="S432" s="134"/>
      <c r="T432" s="134"/>
      <c r="U432" s="134"/>
      <c r="V432" s="134"/>
      <c r="W432" s="134"/>
      <c r="X432" s="134"/>
      <c r="Y432" s="134"/>
      <c r="Z432" s="134"/>
      <c r="AA432" s="134"/>
      <c r="AB432" s="134"/>
      <c r="AC432" s="134"/>
    </row>
    <row r="433" spans="1:29" ht="48">
      <c r="A433" s="332">
        <v>40064663</v>
      </c>
      <c r="B433" s="286" t="s">
        <v>629</v>
      </c>
      <c r="C433" s="286" t="s">
        <v>26</v>
      </c>
      <c r="D433" s="286"/>
      <c r="E433" s="329"/>
      <c r="F433" s="118" t="s">
        <v>161</v>
      </c>
      <c r="G433" s="333" t="s">
        <v>810</v>
      </c>
      <c r="H433" s="251" t="s">
        <v>103</v>
      </c>
      <c r="J433" s="117">
        <v>2024</v>
      </c>
      <c r="K433" s="117">
        <v>14394</v>
      </c>
      <c r="L433" s="172">
        <v>208700</v>
      </c>
      <c r="N433" s="121" t="s">
        <v>829</v>
      </c>
      <c r="O433" s="134">
        <v>0</v>
      </c>
      <c r="P433" s="134">
        <v>0</v>
      </c>
      <c r="Q433" s="134">
        <f>SUM(R433:AC433)</f>
        <v>0</v>
      </c>
      <c r="R433" s="134"/>
      <c r="S433" s="134"/>
      <c r="T433" s="134"/>
      <c r="U433" s="134"/>
      <c r="V433" s="134"/>
      <c r="W433" s="134"/>
      <c r="X433" s="134"/>
      <c r="Y433" s="134"/>
      <c r="Z433" s="134"/>
      <c r="AA433" s="134"/>
      <c r="AB433" s="134"/>
      <c r="AC433" s="134"/>
    </row>
    <row r="434" spans="1:29" ht="24">
      <c r="A434" s="123">
        <v>40065916</v>
      </c>
      <c r="B434" s="286" t="s">
        <v>678</v>
      </c>
      <c r="C434" s="286" t="s">
        <v>29</v>
      </c>
      <c r="D434" s="286"/>
      <c r="E434" s="329"/>
      <c r="F434" s="118" t="s">
        <v>161</v>
      </c>
      <c r="G434" s="272" t="s">
        <v>811</v>
      </c>
      <c r="H434" s="251" t="s">
        <v>92</v>
      </c>
      <c r="J434" s="117">
        <v>2024</v>
      </c>
      <c r="K434" s="117">
        <v>14427</v>
      </c>
      <c r="L434" s="172">
        <v>832990</v>
      </c>
      <c r="N434" s="121" t="s">
        <v>325</v>
      </c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  <c r="AA434" s="134"/>
      <c r="AB434" s="134"/>
      <c r="AC434" s="134"/>
    </row>
    <row r="435" spans="1:29" ht="24">
      <c r="A435" s="332">
        <v>40021859</v>
      </c>
      <c r="B435" s="286" t="s">
        <v>629</v>
      </c>
      <c r="C435" s="286" t="s">
        <v>26</v>
      </c>
      <c r="D435" s="286"/>
      <c r="E435" s="329"/>
      <c r="F435" s="118" t="s">
        <v>161</v>
      </c>
      <c r="G435" s="333" t="s">
        <v>812</v>
      </c>
      <c r="H435" s="251" t="s">
        <v>98</v>
      </c>
      <c r="J435" s="117">
        <v>2024</v>
      </c>
      <c r="K435" s="117">
        <v>14427</v>
      </c>
      <c r="L435" s="172">
        <v>149464</v>
      </c>
      <c r="N435" s="121" t="s">
        <v>354</v>
      </c>
      <c r="O435" s="134">
        <v>0</v>
      </c>
      <c r="P435" s="134">
        <v>0</v>
      </c>
      <c r="Q435" s="134">
        <f>SUM(R435:AC435)</f>
        <v>0</v>
      </c>
      <c r="R435" s="134"/>
      <c r="S435" s="134"/>
      <c r="T435" s="134"/>
      <c r="U435" s="134"/>
      <c r="V435" s="134"/>
      <c r="W435" s="134"/>
      <c r="X435" s="134"/>
      <c r="Y435" s="134"/>
      <c r="Z435" s="134"/>
      <c r="AA435" s="134"/>
      <c r="AB435" s="134"/>
      <c r="AC435" s="134"/>
    </row>
    <row r="436" spans="1:29" ht="24">
      <c r="A436" s="332">
        <v>40066215</v>
      </c>
      <c r="B436" s="286" t="s">
        <v>691</v>
      </c>
      <c r="C436" s="286" t="s">
        <v>26</v>
      </c>
      <c r="D436" s="286"/>
      <c r="E436" s="329"/>
      <c r="F436" s="118" t="s">
        <v>161</v>
      </c>
      <c r="G436" s="285" t="s">
        <v>813</v>
      </c>
      <c r="H436" s="251" t="s">
        <v>82</v>
      </c>
      <c r="J436" s="117">
        <v>2023</v>
      </c>
      <c r="K436" s="117">
        <v>13595</v>
      </c>
      <c r="L436" s="172">
        <v>1216254</v>
      </c>
      <c r="N436" s="121" t="s">
        <v>325</v>
      </c>
      <c r="O436" s="134">
        <v>0</v>
      </c>
      <c r="P436" s="134">
        <v>0</v>
      </c>
      <c r="Q436" s="134">
        <f t="shared" ref="Q436:Q437" si="31">SUM(R436:AC436)</f>
        <v>0</v>
      </c>
      <c r="R436" s="134"/>
      <c r="S436" s="134"/>
      <c r="T436" s="134"/>
      <c r="U436" s="134"/>
      <c r="V436" s="134"/>
      <c r="W436" s="134"/>
      <c r="X436" s="134"/>
      <c r="Y436" s="134"/>
      <c r="Z436" s="134"/>
      <c r="AA436" s="134"/>
      <c r="AB436" s="134"/>
      <c r="AC436" s="134"/>
    </row>
    <row r="437" spans="1:29" ht="36">
      <c r="A437" s="332">
        <v>40066186</v>
      </c>
      <c r="B437" s="286" t="s">
        <v>691</v>
      </c>
      <c r="C437" s="286" t="s">
        <v>26</v>
      </c>
      <c r="D437" s="286"/>
      <c r="E437" s="329"/>
      <c r="F437" s="118" t="s">
        <v>161</v>
      </c>
      <c r="G437" s="285" t="s">
        <v>814</v>
      </c>
      <c r="H437" s="251" t="s">
        <v>100</v>
      </c>
      <c r="J437" s="117">
        <v>2023</v>
      </c>
      <c r="K437" s="117">
        <v>13595</v>
      </c>
      <c r="L437" s="172">
        <v>93969</v>
      </c>
      <c r="N437" s="121" t="s">
        <v>325</v>
      </c>
      <c r="O437" s="134">
        <v>0</v>
      </c>
      <c r="P437" s="134">
        <v>0</v>
      </c>
      <c r="Q437" s="134">
        <f t="shared" si="31"/>
        <v>0</v>
      </c>
      <c r="R437" s="134"/>
      <c r="S437" s="134"/>
      <c r="T437" s="134"/>
      <c r="U437" s="134"/>
      <c r="V437" s="134"/>
      <c r="W437" s="134"/>
      <c r="X437" s="134"/>
      <c r="Y437" s="134"/>
      <c r="Z437" s="134"/>
      <c r="AA437" s="134"/>
      <c r="AB437" s="134"/>
      <c r="AC437" s="134"/>
    </row>
    <row r="438" spans="1:29" ht="24">
      <c r="A438" s="332" t="s">
        <v>815</v>
      </c>
      <c r="B438" s="286" t="s">
        <v>691</v>
      </c>
      <c r="C438" s="286" t="s">
        <v>26</v>
      </c>
      <c r="D438" s="286"/>
      <c r="E438" s="329"/>
      <c r="F438" s="118" t="s">
        <v>161</v>
      </c>
      <c r="G438" s="333" t="s">
        <v>816</v>
      </c>
      <c r="H438" s="251" t="s">
        <v>100</v>
      </c>
      <c r="J438" s="117">
        <v>2024</v>
      </c>
      <c r="K438" s="117">
        <v>14434</v>
      </c>
      <c r="L438" s="172"/>
      <c r="N438" s="121" t="s">
        <v>354</v>
      </c>
      <c r="O438" s="134">
        <v>0</v>
      </c>
      <c r="P438" s="134">
        <v>0</v>
      </c>
      <c r="Q438" s="134">
        <f t="shared" ref="Q438:Q439" si="32">SUM(R438:AC438)</f>
        <v>0</v>
      </c>
      <c r="R438" s="134"/>
      <c r="S438" s="134"/>
      <c r="T438" s="134"/>
      <c r="U438" s="134"/>
      <c r="V438" s="134"/>
      <c r="W438" s="134"/>
      <c r="X438" s="134"/>
      <c r="Y438" s="134"/>
      <c r="Z438" s="134"/>
      <c r="AA438" s="134"/>
      <c r="AB438" s="134"/>
      <c r="AC438" s="134"/>
    </row>
    <row r="439" spans="1:29" ht="24">
      <c r="A439" s="332" t="s">
        <v>815</v>
      </c>
      <c r="B439" s="286" t="s">
        <v>691</v>
      </c>
      <c r="C439" s="286" t="s">
        <v>26</v>
      </c>
      <c r="D439" s="286"/>
      <c r="E439" s="329"/>
      <c r="F439" s="118" t="s">
        <v>161</v>
      </c>
      <c r="G439" s="333" t="s">
        <v>817</v>
      </c>
      <c r="H439" s="251" t="s">
        <v>98</v>
      </c>
      <c r="J439" s="117">
        <v>2024</v>
      </c>
      <c r="K439" s="117">
        <v>14434</v>
      </c>
      <c r="L439" s="172"/>
      <c r="N439" s="121" t="s">
        <v>354</v>
      </c>
      <c r="O439" s="134">
        <v>0</v>
      </c>
      <c r="P439" s="134">
        <v>0</v>
      </c>
      <c r="Q439" s="134">
        <f t="shared" si="32"/>
        <v>0</v>
      </c>
      <c r="R439" s="134"/>
      <c r="S439" s="134"/>
      <c r="T439" s="134"/>
      <c r="U439" s="134"/>
      <c r="V439" s="134"/>
      <c r="W439" s="134"/>
      <c r="X439" s="134"/>
      <c r="Y439" s="134"/>
      <c r="Z439" s="134"/>
      <c r="AA439" s="134"/>
      <c r="AB439" s="134"/>
      <c r="AC439" s="134"/>
    </row>
    <row r="440" spans="1:29" ht="36">
      <c r="A440" s="332">
        <v>40065749</v>
      </c>
      <c r="B440" s="286" t="s">
        <v>629</v>
      </c>
      <c r="C440" s="286" t="s">
        <v>26</v>
      </c>
      <c r="D440" s="286"/>
      <c r="E440" s="329"/>
      <c r="F440" s="118" t="s">
        <v>161</v>
      </c>
      <c r="G440" s="333" t="s">
        <v>818</v>
      </c>
      <c r="H440" s="251" t="s">
        <v>103</v>
      </c>
      <c r="J440" s="117">
        <v>2024</v>
      </c>
      <c r="K440" s="117">
        <v>14443</v>
      </c>
      <c r="L440" s="172">
        <v>533930</v>
      </c>
      <c r="N440" s="121" t="s">
        <v>829</v>
      </c>
      <c r="O440" s="134">
        <v>0</v>
      </c>
      <c r="P440" s="134">
        <v>0</v>
      </c>
      <c r="Q440" s="134">
        <f t="shared" ref="Q440:Q444" si="33">SUM(R440:AC440)</f>
        <v>0</v>
      </c>
      <c r="R440" s="134"/>
      <c r="S440" s="134"/>
      <c r="T440" s="134"/>
      <c r="U440" s="134"/>
      <c r="V440" s="134"/>
      <c r="W440" s="134"/>
      <c r="X440" s="134"/>
      <c r="Y440" s="134"/>
      <c r="Z440" s="134"/>
      <c r="AA440" s="134"/>
      <c r="AB440" s="134"/>
      <c r="AC440" s="134"/>
    </row>
    <row r="441" spans="1:29" ht="36">
      <c r="A441" s="332">
        <v>40067253</v>
      </c>
      <c r="B441" s="286" t="s">
        <v>789</v>
      </c>
      <c r="C441" s="286" t="s">
        <v>26</v>
      </c>
      <c r="D441" s="286"/>
      <c r="E441" s="329"/>
      <c r="F441" s="118" t="s">
        <v>161</v>
      </c>
      <c r="G441" s="333" t="s">
        <v>819</v>
      </c>
      <c r="H441" s="251" t="s">
        <v>99</v>
      </c>
      <c r="J441" s="117">
        <v>2024</v>
      </c>
      <c r="K441" s="117">
        <v>14448</v>
      </c>
      <c r="L441" s="172">
        <v>470114</v>
      </c>
      <c r="N441" s="121" t="s">
        <v>354</v>
      </c>
      <c r="O441" s="134">
        <v>0</v>
      </c>
      <c r="P441" s="134">
        <v>0</v>
      </c>
      <c r="Q441" s="134">
        <f t="shared" si="33"/>
        <v>0</v>
      </c>
      <c r="R441" s="134"/>
      <c r="S441" s="134"/>
      <c r="T441" s="134"/>
      <c r="U441" s="134"/>
      <c r="V441" s="134"/>
      <c r="W441" s="134"/>
      <c r="X441" s="134"/>
      <c r="Y441" s="134"/>
      <c r="Z441" s="134"/>
      <c r="AA441" s="134"/>
      <c r="AB441" s="134"/>
      <c r="AC441" s="134"/>
    </row>
    <row r="442" spans="1:29" ht="36">
      <c r="A442" s="332">
        <v>40066900</v>
      </c>
      <c r="B442" s="286" t="s">
        <v>789</v>
      </c>
      <c r="C442" s="286" t="s">
        <v>26</v>
      </c>
      <c r="D442" s="286"/>
      <c r="E442" s="329"/>
      <c r="F442" s="118" t="s">
        <v>161</v>
      </c>
      <c r="G442" s="333" t="s">
        <v>820</v>
      </c>
      <c r="H442" s="251" t="s">
        <v>97</v>
      </c>
      <c r="J442" s="117">
        <v>2024</v>
      </c>
      <c r="K442" s="117">
        <v>14448</v>
      </c>
      <c r="L442" s="172">
        <v>314299</v>
      </c>
      <c r="N442" s="121" t="s">
        <v>354</v>
      </c>
      <c r="O442" s="134">
        <v>0</v>
      </c>
      <c r="P442" s="134">
        <v>0</v>
      </c>
      <c r="Q442" s="134">
        <f t="shared" si="33"/>
        <v>0</v>
      </c>
      <c r="R442" s="134"/>
      <c r="S442" s="134"/>
      <c r="T442" s="134"/>
      <c r="U442" s="134"/>
      <c r="V442" s="134"/>
      <c r="W442" s="134"/>
      <c r="X442" s="134"/>
      <c r="Y442" s="134"/>
      <c r="Z442" s="134"/>
      <c r="AA442" s="134"/>
      <c r="AB442" s="134"/>
      <c r="AC442" s="134"/>
    </row>
    <row r="443" spans="1:29" ht="36">
      <c r="A443" s="332">
        <v>40067257</v>
      </c>
      <c r="B443" s="286" t="s">
        <v>789</v>
      </c>
      <c r="C443" s="286" t="s">
        <v>26</v>
      </c>
      <c r="D443" s="286"/>
      <c r="E443" s="329"/>
      <c r="F443" s="118" t="s">
        <v>161</v>
      </c>
      <c r="G443" s="333" t="s">
        <v>821</v>
      </c>
      <c r="H443" s="251" t="s">
        <v>92</v>
      </c>
      <c r="J443" s="117">
        <v>2024</v>
      </c>
      <c r="K443" s="117">
        <v>14448</v>
      </c>
      <c r="L443" s="172">
        <v>744721</v>
      </c>
      <c r="N443" s="121" t="s">
        <v>354</v>
      </c>
      <c r="O443" s="134">
        <v>0</v>
      </c>
      <c r="P443" s="134">
        <v>0</v>
      </c>
      <c r="Q443" s="134">
        <f t="shared" si="33"/>
        <v>0</v>
      </c>
      <c r="R443" s="134"/>
      <c r="S443" s="134"/>
      <c r="T443" s="134"/>
      <c r="U443" s="134"/>
      <c r="V443" s="134"/>
      <c r="W443" s="134"/>
      <c r="X443" s="134"/>
      <c r="Y443" s="134"/>
      <c r="Z443" s="134"/>
      <c r="AA443" s="134"/>
      <c r="AB443" s="134"/>
      <c r="AC443" s="134"/>
    </row>
    <row r="444" spans="1:29" ht="36">
      <c r="A444" s="332">
        <v>40067209</v>
      </c>
      <c r="B444" s="286" t="s">
        <v>789</v>
      </c>
      <c r="C444" s="286" t="s">
        <v>26</v>
      </c>
      <c r="D444" s="286"/>
      <c r="E444" s="329"/>
      <c r="F444" s="118" t="s">
        <v>161</v>
      </c>
      <c r="G444" s="333" t="s">
        <v>822</v>
      </c>
      <c r="H444" s="251" t="s">
        <v>93</v>
      </c>
      <c r="J444" s="117">
        <v>2024</v>
      </c>
      <c r="K444" s="117">
        <v>14448</v>
      </c>
      <c r="L444" s="172">
        <v>316720</v>
      </c>
      <c r="N444" s="121" t="s">
        <v>354</v>
      </c>
      <c r="O444" s="134">
        <v>0</v>
      </c>
      <c r="P444" s="134">
        <v>0</v>
      </c>
      <c r="Q444" s="134">
        <f t="shared" si="33"/>
        <v>0</v>
      </c>
      <c r="R444" s="134"/>
      <c r="S444" s="134"/>
      <c r="T444" s="134"/>
      <c r="U444" s="134"/>
      <c r="V444" s="134"/>
      <c r="W444" s="134"/>
      <c r="X444" s="134"/>
      <c r="Y444" s="134"/>
      <c r="Z444" s="134"/>
      <c r="AA444" s="134"/>
      <c r="AB444" s="134"/>
      <c r="AC444" s="134"/>
    </row>
    <row r="445" spans="1:29" ht="36">
      <c r="A445" s="332">
        <v>40066931</v>
      </c>
      <c r="B445" s="286" t="s">
        <v>789</v>
      </c>
      <c r="C445" s="286" t="s">
        <v>26</v>
      </c>
      <c r="D445" s="286"/>
      <c r="E445" s="329"/>
      <c r="F445" s="118" t="s">
        <v>161</v>
      </c>
      <c r="G445" s="333" t="s">
        <v>823</v>
      </c>
      <c r="H445" s="251" t="s">
        <v>90</v>
      </c>
      <c r="J445" s="117">
        <v>2024</v>
      </c>
      <c r="K445" s="117">
        <v>14448</v>
      </c>
      <c r="L445" s="172">
        <v>535988</v>
      </c>
      <c r="N445" s="121" t="s">
        <v>354</v>
      </c>
      <c r="O445" s="134">
        <v>0</v>
      </c>
      <c r="P445" s="134">
        <v>0</v>
      </c>
      <c r="Q445" s="134">
        <f t="shared" ref="Q445:Q451" si="34">SUM(R445:AC445)</f>
        <v>0</v>
      </c>
      <c r="R445" s="134"/>
      <c r="S445" s="134"/>
      <c r="T445" s="134"/>
      <c r="U445" s="134"/>
      <c r="V445" s="134"/>
      <c r="W445" s="134"/>
      <c r="X445" s="134"/>
      <c r="Y445" s="134"/>
      <c r="Z445" s="134"/>
      <c r="AA445" s="134"/>
      <c r="AB445" s="134"/>
      <c r="AC445" s="134"/>
    </row>
    <row r="446" spans="1:29" ht="36">
      <c r="A446" s="332">
        <v>40067221</v>
      </c>
      <c r="B446" s="286" t="s">
        <v>789</v>
      </c>
      <c r="C446" s="286" t="s">
        <v>26</v>
      </c>
      <c r="D446" s="286"/>
      <c r="E446" s="329"/>
      <c r="F446" s="118" t="s">
        <v>161</v>
      </c>
      <c r="G446" s="333" t="s">
        <v>824</v>
      </c>
      <c r="H446" s="251" t="s">
        <v>83</v>
      </c>
      <c r="J446" s="117">
        <v>2024</v>
      </c>
      <c r="K446" s="117">
        <v>14448</v>
      </c>
      <c r="L446" s="172">
        <v>256764</v>
      </c>
      <c r="N446" s="121" t="s">
        <v>354</v>
      </c>
      <c r="O446" s="134">
        <v>0</v>
      </c>
      <c r="P446" s="134">
        <v>0</v>
      </c>
      <c r="Q446" s="134">
        <f t="shared" si="34"/>
        <v>0</v>
      </c>
      <c r="R446" s="134"/>
      <c r="S446" s="134"/>
      <c r="T446" s="134"/>
      <c r="U446" s="134"/>
      <c r="V446" s="134"/>
      <c r="W446" s="134"/>
      <c r="X446" s="134"/>
      <c r="Y446" s="134"/>
      <c r="Z446" s="134"/>
      <c r="AA446" s="134"/>
      <c r="AB446" s="134"/>
      <c r="AC446" s="134"/>
    </row>
    <row r="447" spans="1:29" ht="36">
      <c r="A447" s="332">
        <v>40066889</v>
      </c>
      <c r="B447" s="286" t="s">
        <v>789</v>
      </c>
      <c r="C447" s="286" t="s">
        <v>26</v>
      </c>
      <c r="D447" s="286"/>
      <c r="E447" s="329"/>
      <c r="F447" s="118" t="s">
        <v>161</v>
      </c>
      <c r="G447" s="333" t="s">
        <v>825</v>
      </c>
      <c r="H447" s="251" t="s">
        <v>84</v>
      </c>
      <c r="J447" s="117">
        <v>2024</v>
      </c>
      <c r="K447" s="117">
        <v>14448</v>
      </c>
      <c r="L447" s="172">
        <v>324366</v>
      </c>
      <c r="N447" s="121" t="s">
        <v>354</v>
      </c>
      <c r="O447" s="134">
        <v>0</v>
      </c>
      <c r="P447" s="134">
        <v>0</v>
      </c>
      <c r="Q447" s="134">
        <f t="shared" si="34"/>
        <v>0</v>
      </c>
      <c r="R447" s="134"/>
      <c r="S447" s="134"/>
      <c r="T447" s="134"/>
      <c r="U447" s="134"/>
      <c r="V447" s="134"/>
      <c r="W447" s="134"/>
      <c r="X447" s="134"/>
      <c r="Y447" s="134"/>
      <c r="Z447" s="134"/>
      <c r="AA447" s="134"/>
      <c r="AB447" s="134"/>
      <c r="AC447" s="134"/>
    </row>
    <row r="448" spans="1:29" ht="36">
      <c r="A448" s="332">
        <v>40067196</v>
      </c>
      <c r="B448" s="286" t="s">
        <v>789</v>
      </c>
      <c r="C448" s="286" t="s">
        <v>26</v>
      </c>
      <c r="D448" s="286"/>
      <c r="E448" s="329"/>
      <c r="F448" s="118" t="s">
        <v>161</v>
      </c>
      <c r="G448" s="333" t="s">
        <v>826</v>
      </c>
      <c r="H448" s="251" t="s">
        <v>82</v>
      </c>
      <c r="J448" s="117">
        <v>2024</v>
      </c>
      <c r="K448" s="117">
        <v>14448</v>
      </c>
      <c r="L448" s="172">
        <v>141677</v>
      </c>
      <c r="N448" s="121" t="s">
        <v>354</v>
      </c>
      <c r="O448" s="134">
        <v>0</v>
      </c>
      <c r="P448" s="134">
        <v>0</v>
      </c>
      <c r="Q448" s="134">
        <f t="shared" si="34"/>
        <v>0</v>
      </c>
      <c r="R448" s="134"/>
      <c r="S448" s="134"/>
      <c r="T448" s="134"/>
      <c r="U448" s="134"/>
      <c r="V448" s="134"/>
      <c r="W448" s="134"/>
      <c r="X448" s="134"/>
      <c r="Y448" s="134"/>
      <c r="Z448" s="134"/>
      <c r="AA448" s="134"/>
      <c r="AB448" s="134"/>
      <c r="AC448" s="134"/>
    </row>
    <row r="449" spans="1:29" ht="48">
      <c r="A449" s="332">
        <v>40056851</v>
      </c>
      <c r="B449" s="286" t="s">
        <v>629</v>
      </c>
      <c r="C449" s="286" t="s">
        <v>26</v>
      </c>
      <c r="D449" s="286"/>
      <c r="E449" s="329"/>
      <c r="F449" s="118" t="s">
        <v>161</v>
      </c>
      <c r="G449" s="333" t="s">
        <v>827</v>
      </c>
      <c r="H449" s="251" t="s">
        <v>103</v>
      </c>
      <c r="J449" s="117">
        <v>2024</v>
      </c>
      <c r="K449" s="117">
        <v>14472</v>
      </c>
      <c r="L449" s="172">
        <v>830883</v>
      </c>
      <c r="N449" s="121" t="s">
        <v>829</v>
      </c>
      <c r="O449" s="134">
        <v>0</v>
      </c>
      <c r="P449" s="134">
        <v>0</v>
      </c>
      <c r="Q449" s="134">
        <f t="shared" si="34"/>
        <v>0</v>
      </c>
      <c r="R449" s="134"/>
      <c r="S449" s="134"/>
      <c r="T449" s="134"/>
      <c r="U449" s="134"/>
      <c r="V449" s="134"/>
      <c r="W449" s="134"/>
      <c r="X449" s="134"/>
      <c r="Y449" s="134"/>
      <c r="Z449" s="134"/>
      <c r="AA449" s="134"/>
      <c r="AB449" s="134"/>
      <c r="AC449" s="134"/>
    </row>
    <row r="450" spans="1:29" ht="36">
      <c r="A450" s="332">
        <v>40067457</v>
      </c>
      <c r="B450" s="286" t="s">
        <v>691</v>
      </c>
      <c r="C450" s="286" t="s">
        <v>26</v>
      </c>
      <c r="D450" s="286"/>
      <c r="E450" s="329"/>
      <c r="F450" s="118" t="s">
        <v>161</v>
      </c>
      <c r="G450" s="333" t="s">
        <v>828</v>
      </c>
      <c r="H450" s="251" t="s">
        <v>103</v>
      </c>
      <c r="J450" s="117">
        <v>2024</v>
      </c>
      <c r="K450" s="117">
        <v>14473</v>
      </c>
      <c r="L450" s="172">
        <v>1921520</v>
      </c>
      <c r="N450" s="121" t="s">
        <v>829</v>
      </c>
      <c r="O450" s="134">
        <v>0</v>
      </c>
      <c r="P450" s="134">
        <v>0</v>
      </c>
      <c r="Q450" s="134">
        <f t="shared" ref="Q450" si="35">SUM(R450:AC450)</f>
        <v>0</v>
      </c>
      <c r="R450" s="134"/>
      <c r="S450" s="134"/>
      <c r="T450" s="134"/>
      <c r="U450" s="134"/>
      <c r="V450" s="134"/>
      <c r="W450" s="134"/>
      <c r="X450" s="134"/>
      <c r="Y450" s="134"/>
      <c r="Z450" s="134"/>
      <c r="AA450" s="134"/>
      <c r="AB450" s="134"/>
      <c r="AC450" s="134"/>
    </row>
    <row r="451" spans="1:29" ht="48">
      <c r="A451" s="332">
        <v>40067603</v>
      </c>
      <c r="B451" s="286" t="s">
        <v>629</v>
      </c>
      <c r="C451" s="286" t="s">
        <v>26</v>
      </c>
      <c r="D451" s="286"/>
      <c r="E451" s="329"/>
      <c r="F451" s="118" t="s">
        <v>161</v>
      </c>
      <c r="G451" s="333" t="s">
        <v>830</v>
      </c>
      <c r="H451" s="251" t="s">
        <v>103</v>
      </c>
      <c r="J451" s="117">
        <v>2024</v>
      </c>
      <c r="K451" s="117">
        <v>14474</v>
      </c>
      <c r="L451" s="172">
        <v>323357</v>
      </c>
      <c r="N451" s="121" t="s">
        <v>829</v>
      </c>
      <c r="O451" s="134">
        <v>0</v>
      </c>
      <c r="P451" s="134">
        <v>0</v>
      </c>
      <c r="Q451" s="134">
        <f t="shared" si="34"/>
        <v>0</v>
      </c>
      <c r="R451" s="134"/>
      <c r="S451" s="134"/>
      <c r="T451" s="134"/>
      <c r="U451" s="134"/>
      <c r="V451" s="134"/>
      <c r="W451" s="134"/>
      <c r="X451" s="134"/>
      <c r="Y451" s="134"/>
      <c r="Z451" s="134"/>
      <c r="AA451" s="134"/>
      <c r="AB451" s="134"/>
      <c r="AC451" s="134"/>
    </row>
    <row r="452" spans="1:29" ht="36">
      <c r="A452" s="332">
        <v>40060969</v>
      </c>
      <c r="B452" s="286" t="s">
        <v>629</v>
      </c>
      <c r="C452" s="286" t="s">
        <v>26</v>
      </c>
      <c r="D452" s="286"/>
      <c r="E452" s="329"/>
      <c r="F452" s="118" t="s">
        <v>161</v>
      </c>
      <c r="G452" s="333" t="s">
        <v>831</v>
      </c>
      <c r="H452" s="251" t="s">
        <v>83</v>
      </c>
      <c r="J452" s="117">
        <v>2024</v>
      </c>
      <c r="K452" s="117">
        <v>14475</v>
      </c>
      <c r="L452" s="172">
        <v>355609</v>
      </c>
      <c r="N452" s="121" t="s">
        <v>354</v>
      </c>
      <c r="O452" s="134">
        <v>0</v>
      </c>
      <c r="P452" s="134">
        <v>0</v>
      </c>
      <c r="Q452" s="134">
        <f t="shared" ref="Q452:Q453" si="36">SUM(R452:AC452)</f>
        <v>0</v>
      </c>
      <c r="R452" s="134"/>
      <c r="S452" s="134"/>
      <c r="T452" s="134"/>
      <c r="U452" s="134"/>
      <c r="V452" s="134"/>
      <c r="W452" s="134"/>
      <c r="X452" s="134"/>
      <c r="Y452" s="134"/>
      <c r="Z452" s="134"/>
      <c r="AA452" s="134"/>
      <c r="AB452" s="134"/>
      <c r="AC452" s="134"/>
    </row>
    <row r="453" spans="1:29" ht="48">
      <c r="A453" s="332">
        <v>40058634</v>
      </c>
      <c r="B453" s="286" t="s">
        <v>629</v>
      </c>
      <c r="C453" s="286" t="s">
        <v>26</v>
      </c>
      <c r="D453" s="286"/>
      <c r="E453" s="329"/>
      <c r="F453" s="118" t="s">
        <v>161</v>
      </c>
      <c r="G453" s="333" t="s">
        <v>832</v>
      </c>
      <c r="H453" s="251" t="s">
        <v>100</v>
      </c>
      <c r="J453" s="117">
        <v>2024</v>
      </c>
      <c r="K453" s="117">
        <v>14476</v>
      </c>
      <c r="L453" s="172">
        <v>42338</v>
      </c>
      <c r="N453" s="121" t="s">
        <v>354</v>
      </c>
      <c r="O453" s="134">
        <v>0</v>
      </c>
      <c r="P453" s="134">
        <v>0</v>
      </c>
      <c r="Q453" s="134">
        <f t="shared" si="36"/>
        <v>0</v>
      </c>
      <c r="R453" s="134"/>
      <c r="S453" s="134"/>
      <c r="T453" s="134"/>
      <c r="U453" s="134"/>
      <c r="V453" s="134"/>
      <c r="W453" s="134"/>
      <c r="X453" s="134"/>
      <c r="Y453" s="134"/>
      <c r="Z453" s="134"/>
      <c r="AA453" s="134"/>
      <c r="AB453" s="134"/>
      <c r="AC453" s="134"/>
    </row>
    <row r="454" spans="1:29" ht="24">
      <c r="A454" s="332">
        <v>40038253</v>
      </c>
      <c r="B454" s="286" t="s">
        <v>629</v>
      </c>
      <c r="C454" s="286" t="s">
        <v>26</v>
      </c>
      <c r="D454" s="286"/>
      <c r="E454" s="329"/>
      <c r="F454" s="118" t="s">
        <v>161</v>
      </c>
      <c r="G454" s="333" t="s">
        <v>833</v>
      </c>
      <c r="H454" s="251" t="s">
        <v>82</v>
      </c>
      <c r="J454" s="117">
        <v>2024</v>
      </c>
      <c r="K454" s="117">
        <v>14484</v>
      </c>
      <c r="L454" s="172">
        <v>107100</v>
      </c>
      <c r="N454" s="121" t="s">
        <v>354</v>
      </c>
      <c r="O454" s="134">
        <v>0</v>
      </c>
      <c r="P454" s="134">
        <v>0</v>
      </c>
      <c r="Q454" s="134">
        <f t="shared" ref="Q454:Q463" si="37">SUM(R454:AC454)</f>
        <v>0</v>
      </c>
      <c r="R454" s="134"/>
      <c r="S454" s="134"/>
      <c r="T454" s="134"/>
      <c r="U454" s="134"/>
      <c r="V454" s="134"/>
      <c r="W454" s="134"/>
      <c r="X454" s="134"/>
      <c r="Y454" s="134"/>
      <c r="Z454" s="134"/>
      <c r="AA454" s="134"/>
      <c r="AB454" s="134"/>
      <c r="AC454" s="134"/>
    </row>
    <row r="455" spans="1:29" ht="36">
      <c r="A455" s="332">
        <v>40067228</v>
      </c>
      <c r="B455" s="286" t="s">
        <v>789</v>
      </c>
      <c r="C455" s="286" t="s">
        <v>26</v>
      </c>
      <c r="D455" s="286"/>
      <c r="E455" s="329"/>
      <c r="F455" s="118" t="s">
        <v>161</v>
      </c>
      <c r="G455" s="333" t="s">
        <v>834</v>
      </c>
      <c r="H455" s="251" t="s">
        <v>85</v>
      </c>
      <c r="J455" s="117">
        <v>2024</v>
      </c>
      <c r="K455" s="117">
        <v>14486</v>
      </c>
      <c r="L455" s="172">
        <v>123483</v>
      </c>
      <c r="N455" s="121" t="s">
        <v>354</v>
      </c>
      <c r="O455" s="134">
        <v>0</v>
      </c>
      <c r="P455" s="134">
        <v>0</v>
      </c>
      <c r="Q455" s="134">
        <f t="shared" si="37"/>
        <v>0</v>
      </c>
      <c r="R455" s="134"/>
      <c r="S455" s="134"/>
      <c r="T455" s="134"/>
      <c r="U455" s="134"/>
      <c r="V455" s="134"/>
      <c r="W455" s="134"/>
      <c r="X455" s="134"/>
      <c r="Y455" s="134"/>
      <c r="Z455" s="134"/>
      <c r="AA455" s="134"/>
      <c r="AB455" s="134"/>
      <c r="AC455" s="134"/>
    </row>
    <row r="456" spans="1:29" ht="36">
      <c r="A456" s="332">
        <v>40067389</v>
      </c>
      <c r="B456" s="286" t="s">
        <v>789</v>
      </c>
      <c r="C456" s="286" t="s">
        <v>26</v>
      </c>
      <c r="D456" s="286"/>
      <c r="E456" s="329"/>
      <c r="F456" s="118" t="s">
        <v>161</v>
      </c>
      <c r="G456" s="333" t="s">
        <v>835</v>
      </c>
      <c r="H456" s="251" t="s">
        <v>86</v>
      </c>
      <c r="J456" s="117">
        <v>2024</v>
      </c>
      <c r="K456" s="117">
        <v>14486</v>
      </c>
      <c r="L456" s="172">
        <v>109963</v>
      </c>
      <c r="N456" s="121" t="s">
        <v>354</v>
      </c>
      <c r="O456" s="134">
        <v>0</v>
      </c>
      <c r="P456" s="134">
        <v>0</v>
      </c>
      <c r="Q456" s="134">
        <f t="shared" si="37"/>
        <v>0</v>
      </c>
      <c r="R456" s="134"/>
      <c r="S456" s="134"/>
      <c r="T456" s="134"/>
      <c r="U456" s="134"/>
      <c r="V456" s="134"/>
      <c r="W456" s="134"/>
      <c r="X456" s="134"/>
      <c r="Y456" s="134"/>
      <c r="Z456" s="134"/>
      <c r="AA456" s="134"/>
      <c r="AB456" s="134"/>
      <c r="AC456" s="134"/>
    </row>
    <row r="457" spans="1:29" ht="24">
      <c r="A457" s="332">
        <v>40067051</v>
      </c>
      <c r="B457" s="286" t="s">
        <v>789</v>
      </c>
      <c r="C457" s="286" t="s">
        <v>26</v>
      </c>
      <c r="D457" s="286"/>
      <c r="E457" s="329"/>
      <c r="F457" s="118" t="s">
        <v>161</v>
      </c>
      <c r="G457" s="333" t="s">
        <v>836</v>
      </c>
      <c r="H457" s="251" t="s">
        <v>87</v>
      </c>
      <c r="J457" s="117">
        <v>2024</v>
      </c>
      <c r="K457" s="117">
        <v>14486</v>
      </c>
      <c r="L457" s="172">
        <v>318968</v>
      </c>
      <c r="N457" s="121" t="s">
        <v>354</v>
      </c>
      <c r="O457" s="134">
        <v>0</v>
      </c>
      <c r="P457" s="134">
        <v>0</v>
      </c>
      <c r="Q457" s="134">
        <f t="shared" si="37"/>
        <v>0</v>
      </c>
      <c r="R457" s="134"/>
      <c r="S457" s="134"/>
      <c r="T457" s="134"/>
      <c r="U457" s="134"/>
      <c r="V457" s="134"/>
      <c r="W457" s="134"/>
      <c r="X457" s="134"/>
      <c r="Y457" s="134"/>
      <c r="Z457" s="134"/>
      <c r="AA457" s="134"/>
      <c r="AB457" s="134"/>
      <c r="AC457" s="134"/>
    </row>
    <row r="458" spans="1:29" ht="24">
      <c r="A458" s="332">
        <v>40067083</v>
      </c>
      <c r="B458" s="286" t="s">
        <v>789</v>
      </c>
      <c r="C458" s="286" t="s">
        <v>26</v>
      </c>
      <c r="D458" s="286"/>
      <c r="E458" s="329"/>
      <c r="F458" s="118" t="s">
        <v>161</v>
      </c>
      <c r="G458" s="333" t="s">
        <v>837</v>
      </c>
      <c r="H458" s="251" t="s">
        <v>91</v>
      </c>
      <c r="J458" s="117">
        <v>2024</v>
      </c>
      <c r="K458" s="117">
        <v>14486</v>
      </c>
      <c r="L458" s="172">
        <v>522828</v>
      </c>
      <c r="N458" s="121" t="s">
        <v>354</v>
      </c>
      <c r="O458" s="134">
        <v>0</v>
      </c>
      <c r="P458" s="134">
        <v>0</v>
      </c>
      <c r="Q458" s="134">
        <f t="shared" si="37"/>
        <v>0</v>
      </c>
      <c r="R458" s="134"/>
      <c r="S458" s="134"/>
      <c r="T458" s="134"/>
      <c r="U458" s="134"/>
      <c r="V458" s="134"/>
      <c r="W458" s="134"/>
      <c r="X458" s="134"/>
      <c r="Y458" s="134"/>
      <c r="Z458" s="134"/>
      <c r="AA458" s="134"/>
      <c r="AB458" s="134"/>
      <c r="AC458" s="134"/>
    </row>
    <row r="459" spans="1:29" ht="36">
      <c r="A459" s="332">
        <v>40067477</v>
      </c>
      <c r="B459" s="286" t="s">
        <v>789</v>
      </c>
      <c r="C459" s="286" t="s">
        <v>26</v>
      </c>
      <c r="D459" s="286"/>
      <c r="E459" s="329"/>
      <c r="F459" s="118" t="s">
        <v>161</v>
      </c>
      <c r="G459" s="333" t="s">
        <v>838</v>
      </c>
      <c r="H459" s="251" t="s">
        <v>94</v>
      </c>
      <c r="J459" s="117">
        <v>2024</v>
      </c>
      <c r="K459" s="117">
        <v>14486</v>
      </c>
      <c r="L459" s="172">
        <v>177138</v>
      </c>
      <c r="N459" s="121" t="s">
        <v>354</v>
      </c>
      <c r="O459" s="134">
        <v>0</v>
      </c>
      <c r="P459" s="134">
        <v>0</v>
      </c>
      <c r="Q459" s="134">
        <f t="shared" si="37"/>
        <v>0</v>
      </c>
      <c r="R459" s="134"/>
      <c r="S459" s="134"/>
      <c r="T459" s="134"/>
      <c r="U459" s="134"/>
      <c r="V459" s="134"/>
      <c r="W459" s="134"/>
      <c r="X459" s="134"/>
      <c r="Y459" s="134"/>
      <c r="Z459" s="134"/>
      <c r="AA459" s="134"/>
      <c r="AB459" s="134"/>
      <c r="AC459" s="134"/>
    </row>
    <row r="460" spans="1:29" ht="36">
      <c r="A460" s="332">
        <v>40067216</v>
      </c>
      <c r="B460" s="286" t="s">
        <v>789</v>
      </c>
      <c r="C460" s="286" t="s">
        <v>26</v>
      </c>
      <c r="D460" s="286"/>
      <c r="E460" s="329"/>
      <c r="F460" s="118" t="s">
        <v>161</v>
      </c>
      <c r="G460" s="333" t="s">
        <v>839</v>
      </c>
      <c r="H460" s="251" t="s">
        <v>98</v>
      </c>
      <c r="J460" s="117">
        <v>2024</v>
      </c>
      <c r="K460" s="117">
        <v>14486</v>
      </c>
      <c r="L460" s="172">
        <v>270759</v>
      </c>
      <c r="N460" s="121" t="s">
        <v>354</v>
      </c>
      <c r="O460" s="134">
        <v>0</v>
      </c>
      <c r="P460" s="134">
        <v>0</v>
      </c>
      <c r="Q460" s="134">
        <f t="shared" si="37"/>
        <v>0</v>
      </c>
      <c r="R460" s="134"/>
      <c r="S460" s="134"/>
      <c r="T460" s="134"/>
      <c r="U460" s="134"/>
      <c r="V460" s="134"/>
      <c r="W460" s="134"/>
      <c r="X460" s="134"/>
      <c r="Y460" s="134"/>
      <c r="Z460" s="134"/>
      <c r="AA460" s="134"/>
      <c r="AB460" s="134"/>
      <c r="AC460" s="134"/>
    </row>
    <row r="461" spans="1:29" ht="36">
      <c r="A461" s="332">
        <v>40067208</v>
      </c>
      <c r="B461" s="286" t="s">
        <v>789</v>
      </c>
      <c r="C461" s="286" t="s">
        <v>26</v>
      </c>
      <c r="D461" s="286"/>
      <c r="E461" s="329"/>
      <c r="F461" s="118" t="s">
        <v>161</v>
      </c>
      <c r="G461" s="333" t="s">
        <v>840</v>
      </c>
      <c r="H461" s="251" t="s">
        <v>100</v>
      </c>
      <c r="J461" s="117">
        <v>2024</v>
      </c>
      <c r="K461" s="117">
        <v>14486</v>
      </c>
      <c r="L461" s="172">
        <v>401823</v>
      </c>
      <c r="N461" s="121" t="s">
        <v>354</v>
      </c>
      <c r="O461" s="134">
        <v>0</v>
      </c>
      <c r="P461" s="134">
        <v>0</v>
      </c>
      <c r="Q461" s="134">
        <f t="shared" si="37"/>
        <v>0</v>
      </c>
      <c r="R461" s="134"/>
      <c r="S461" s="134"/>
      <c r="T461" s="134"/>
      <c r="U461" s="134"/>
      <c r="V461" s="134"/>
      <c r="W461" s="134"/>
      <c r="X461" s="134"/>
      <c r="Y461" s="134"/>
      <c r="Z461" s="134"/>
      <c r="AA461" s="134"/>
      <c r="AB461" s="134"/>
      <c r="AC461" s="134"/>
    </row>
    <row r="462" spans="1:29" ht="48">
      <c r="A462" s="332" t="s">
        <v>815</v>
      </c>
      <c r="B462" s="286" t="s">
        <v>789</v>
      </c>
      <c r="C462" s="286" t="s">
        <v>26</v>
      </c>
      <c r="D462" s="286"/>
      <c r="E462" s="329"/>
      <c r="F462" s="118" t="s">
        <v>161</v>
      </c>
      <c r="G462" s="333" t="s">
        <v>841</v>
      </c>
      <c r="H462" s="251" t="s">
        <v>103</v>
      </c>
      <c r="J462" s="117">
        <v>2024</v>
      </c>
      <c r="K462" s="117">
        <v>14487</v>
      </c>
      <c r="L462" s="172">
        <v>200000</v>
      </c>
      <c r="N462" s="121" t="s">
        <v>796</v>
      </c>
      <c r="O462" s="134">
        <v>0</v>
      </c>
      <c r="P462" s="134">
        <v>0</v>
      </c>
      <c r="Q462" s="134">
        <f t="shared" ref="Q462" si="38">SUM(R462:AC462)</f>
        <v>0</v>
      </c>
      <c r="R462" s="134"/>
      <c r="S462" s="134"/>
      <c r="T462" s="134"/>
      <c r="U462" s="134"/>
      <c r="V462" s="134"/>
      <c r="W462" s="134"/>
      <c r="X462" s="134"/>
      <c r="Y462" s="134"/>
      <c r="Z462" s="134"/>
      <c r="AA462" s="134"/>
      <c r="AB462" s="134"/>
      <c r="AC462" s="134"/>
    </row>
    <row r="463" spans="1:29" ht="36">
      <c r="A463" s="332">
        <v>30269622</v>
      </c>
      <c r="B463" s="286" t="s">
        <v>678</v>
      </c>
      <c r="C463" s="286" t="s">
        <v>29</v>
      </c>
      <c r="D463" s="286"/>
      <c r="E463" s="329"/>
      <c r="F463" s="118" t="s">
        <v>161</v>
      </c>
      <c r="G463" s="333" t="s">
        <v>842</v>
      </c>
      <c r="H463" s="251" t="s">
        <v>98</v>
      </c>
      <c r="J463" s="117">
        <v>2024</v>
      </c>
      <c r="K463" s="117">
        <v>14495</v>
      </c>
      <c r="L463" s="172">
        <v>1099718</v>
      </c>
      <c r="N463" s="121" t="s">
        <v>354</v>
      </c>
      <c r="O463" s="134">
        <v>0</v>
      </c>
      <c r="P463" s="134">
        <v>0</v>
      </c>
      <c r="Q463" s="134">
        <f t="shared" si="37"/>
        <v>0</v>
      </c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34"/>
      <c r="AC463" s="134"/>
    </row>
    <row r="464" spans="1:29" ht="48">
      <c r="A464" s="357" t="s">
        <v>815</v>
      </c>
      <c r="B464" s="332">
        <v>33</v>
      </c>
      <c r="C464" s="286" t="s">
        <v>26</v>
      </c>
      <c r="F464" s="118" t="s">
        <v>161</v>
      </c>
      <c r="G464" s="358" t="s">
        <v>1052</v>
      </c>
      <c r="H464" s="251" t="s">
        <v>103</v>
      </c>
      <c r="J464" s="117">
        <v>2024</v>
      </c>
      <c r="K464" s="117">
        <v>14524</v>
      </c>
      <c r="L464" s="172">
        <v>2044555.3859999999</v>
      </c>
      <c r="M464" s="6"/>
      <c r="N464" s="121" t="s">
        <v>354</v>
      </c>
      <c r="O464" s="134">
        <v>0</v>
      </c>
      <c r="P464" s="134">
        <v>0</v>
      </c>
      <c r="Q464" s="134">
        <f t="shared" ref="Q464:Q466" si="39">SUM(R464:AC464)</f>
        <v>0</v>
      </c>
      <c r="R464" s="134"/>
      <c r="S464" s="134"/>
      <c r="T464" s="134"/>
      <c r="U464" s="134"/>
      <c r="V464" s="134"/>
      <c r="W464" s="134"/>
      <c r="X464" s="134"/>
      <c r="Y464" s="134"/>
      <c r="Z464" s="134"/>
      <c r="AA464" s="134"/>
      <c r="AB464" s="134"/>
      <c r="AC464" s="134"/>
    </row>
    <row r="465" spans="1:29" ht="48">
      <c r="A465" s="332">
        <v>40067843</v>
      </c>
      <c r="B465" s="332">
        <v>33</v>
      </c>
      <c r="C465" s="286" t="s">
        <v>26</v>
      </c>
      <c r="F465" s="118" t="s">
        <v>161</v>
      </c>
      <c r="G465" s="358" t="s">
        <v>1053</v>
      </c>
      <c r="H465" s="251" t="s">
        <v>103</v>
      </c>
      <c r="J465" s="117">
        <v>2024</v>
      </c>
      <c r="K465" s="117">
        <v>14528</v>
      </c>
      <c r="L465" s="172">
        <v>453037</v>
      </c>
      <c r="M465" s="6"/>
      <c r="N465" s="121" t="s">
        <v>796</v>
      </c>
      <c r="O465" s="134">
        <v>0</v>
      </c>
      <c r="P465" s="134">
        <v>0</v>
      </c>
      <c r="Q465" s="134">
        <f t="shared" si="39"/>
        <v>0</v>
      </c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34"/>
      <c r="AC465" s="134"/>
    </row>
    <row r="466" spans="1:29" ht="36">
      <c r="A466" s="357">
        <v>40067330</v>
      </c>
      <c r="B466" s="286" t="s">
        <v>629</v>
      </c>
      <c r="C466" s="286" t="s">
        <v>26</v>
      </c>
      <c r="F466" s="118" t="s">
        <v>161</v>
      </c>
      <c r="G466" s="358" t="s">
        <v>1058</v>
      </c>
      <c r="H466" s="251" t="s">
        <v>103</v>
      </c>
      <c r="J466" s="117">
        <v>2024</v>
      </c>
      <c r="K466" s="117">
        <v>14449</v>
      </c>
      <c r="L466" s="172">
        <v>173202</v>
      </c>
      <c r="M466" s="6"/>
      <c r="N466" s="121" t="s">
        <v>829</v>
      </c>
      <c r="O466" s="134">
        <v>0</v>
      </c>
      <c r="P466" s="134">
        <v>0</v>
      </c>
      <c r="Q466" s="134">
        <f t="shared" si="39"/>
        <v>0</v>
      </c>
      <c r="R466" s="134"/>
      <c r="S466" s="134"/>
      <c r="T466" s="134"/>
      <c r="U466" s="134"/>
      <c r="V466" s="134"/>
      <c r="W466" s="134"/>
      <c r="X466" s="134"/>
      <c r="Y466" s="134"/>
      <c r="Z466" s="134"/>
      <c r="AA466" s="134"/>
      <c r="AB466" s="134"/>
      <c r="AC466" s="134"/>
    </row>
    <row r="467" spans="1:29">
      <c r="L467" s="6"/>
      <c r="M467" s="6"/>
      <c r="O467" s="6"/>
      <c r="P467" s="6"/>
    </row>
    <row r="468" spans="1:29">
      <c r="C468" s="252" t="s">
        <v>135</v>
      </c>
      <c r="L468" s="6"/>
      <c r="M468" s="6"/>
      <c r="O468" s="6"/>
      <c r="P468" s="6"/>
    </row>
    <row r="469" spans="1:29">
      <c r="L469" s="6"/>
      <c r="M469" s="6"/>
      <c r="O469" s="6"/>
      <c r="P469" s="6"/>
    </row>
    <row r="470" spans="1:29">
      <c r="L470" s="6"/>
      <c r="M470" s="6"/>
      <c r="O470" s="6"/>
      <c r="P470" s="6"/>
    </row>
    <row r="471" spans="1:29">
      <c r="L471" s="6"/>
      <c r="M471" s="6"/>
      <c r="O471" s="6"/>
      <c r="P471" s="6"/>
    </row>
    <row r="472" spans="1:29">
      <c r="L472" s="6"/>
      <c r="M472" s="6"/>
      <c r="O472" s="6"/>
      <c r="P472" s="6"/>
    </row>
    <row r="473" spans="1:29">
      <c r="L473" s="6"/>
      <c r="M473" s="6"/>
      <c r="O473" s="6"/>
      <c r="P473" s="6"/>
    </row>
    <row r="474" spans="1:29">
      <c r="L474" s="6"/>
      <c r="M474" s="6"/>
      <c r="O474" s="6"/>
      <c r="P474" s="6"/>
    </row>
    <row r="475" spans="1:29">
      <c r="L475" s="6"/>
      <c r="M475" s="6"/>
      <c r="O475" s="6"/>
      <c r="P475" s="6"/>
    </row>
    <row r="476" spans="1:29">
      <c r="L476" s="6"/>
      <c r="M476" s="6"/>
      <c r="O476" s="6"/>
      <c r="P476" s="6"/>
    </row>
    <row r="477" spans="1:29">
      <c r="L477" s="6"/>
      <c r="M477" s="6"/>
      <c r="O477" s="6"/>
      <c r="P477" s="6"/>
    </row>
    <row r="478" spans="1:29">
      <c r="L478" s="6"/>
      <c r="M478" s="6"/>
      <c r="O478" s="6"/>
      <c r="P478" s="6"/>
    </row>
    <row r="479" spans="1:29">
      <c r="L479" s="6"/>
      <c r="M479" s="6"/>
      <c r="O479" s="6"/>
      <c r="P479" s="6"/>
    </row>
    <row r="480" spans="1:29">
      <c r="L480" s="6"/>
      <c r="M480" s="6"/>
      <c r="O480" s="6"/>
      <c r="P480" s="6"/>
    </row>
    <row r="481" spans="12:16">
      <c r="L481" s="6"/>
      <c r="M481" s="6"/>
      <c r="O481" s="6"/>
      <c r="P481" s="6"/>
    </row>
    <row r="482" spans="12:16">
      <c r="L482" s="6"/>
      <c r="M482" s="6"/>
      <c r="O482" s="6"/>
      <c r="P482" s="6"/>
    </row>
    <row r="483" spans="12:16">
      <c r="L483" s="6"/>
      <c r="M483" s="6"/>
      <c r="O483" s="6"/>
      <c r="P483" s="6"/>
    </row>
    <row r="484" spans="12:16">
      <c r="L484" s="6"/>
      <c r="M484" s="6"/>
      <c r="O484" s="6"/>
      <c r="P484" s="6"/>
    </row>
    <row r="485" spans="12:16">
      <c r="L485" s="6"/>
      <c r="M485" s="6"/>
      <c r="O485" s="6"/>
      <c r="P485" s="6"/>
    </row>
    <row r="486" spans="12:16">
      <c r="L486" s="6"/>
      <c r="M486" s="6"/>
      <c r="O486" s="6"/>
      <c r="P486" s="6"/>
    </row>
    <row r="487" spans="12:16">
      <c r="L487" s="6"/>
      <c r="M487" s="6"/>
      <c r="O487" s="6"/>
      <c r="P487" s="6"/>
    </row>
    <row r="488" spans="12:16">
      <c r="L488" s="6"/>
      <c r="M488" s="6"/>
      <c r="O488" s="6"/>
      <c r="P488" s="6"/>
    </row>
    <row r="489" spans="12:16">
      <c r="L489" s="6"/>
      <c r="M489" s="6"/>
      <c r="O489" s="6"/>
      <c r="P489" s="6"/>
    </row>
    <row r="490" spans="12:16">
      <c r="L490" s="6"/>
      <c r="M490" s="6"/>
      <c r="O490" s="6"/>
      <c r="P490" s="6"/>
    </row>
    <row r="491" spans="12:16">
      <c r="L491" s="6"/>
      <c r="M491" s="6"/>
      <c r="O491" s="6"/>
      <c r="P491" s="6"/>
    </row>
    <row r="492" spans="12:16">
      <c r="L492" s="6"/>
      <c r="M492" s="6"/>
      <c r="O492" s="6"/>
      <c r="P492" s="6"/>
    </row>
    <row r="493" spans="12:16">
      <c r="L493" s="6"/>
      <c r="M493" s="6"/>
      <c r="O493" s="6"/>
      <c r="P493" s="6"/>
    </row>
    <row r="494" spans="12:16">
      <c r="L494" s="6"/>
      <c r="M494" s="6"/>
      <c r="O494" s="6"/>
      <c r="P494" s="6"/>
    </row>
    <row r="495" spans="12:16">
      <c r="L495" s="6"/>
      <c r="M495" s="6"/>
      <c r="O495" s="6"/>
      <c r="P495" s="6"/>
    </row>
    <row r="496" spans="12:16">
      <c r="L496" s="6"/>
      <c r="M496" s="6"/>
      <c r="O496" s="6"/>
      <c r="P496" s="6"/>
    </row>
    <row r="497" spans="12:16">
      <c r="L497" s="6"/>
      <c r="M497" s="6"/>
      <c r="O497" s="6"/>
      <c r="P497" s="6"/>
    </row>
    <row r="498" spans="12:16">
      <c r="L498" s="6"/>
      <c r="M498" s="6"/>
      <c r="O498" s="6"/>
      <c r="P498" s="6"/>
    </row>
    <row r="499" spans="12:16">
      <c r="L499" s="6"/>
      <c r="M499" s="6"/>
      <c r="O499" s="6"/>
      <c r="P499" s="6"/>
    </row>
    <row r="500" spans="12:16">
      <c r="L500" s="6"/>
      <c r="M500" s="6"/>
      <c r="O500" s="6"/>
      <c r="P500" s="6"/>
    </row>
    <row r="501" spans="12:16">
      <c r="L501" s="6"/>
      <c r="M501" s="6"/>
      <c r="O501" s="6"/>
      <c r="P501" s="6"/>
    </row>
    <row r="502" spans="12:16">
      <c r="L502" s="6"/>
      <c r="M502" s="6"/>
      <c r="O502" s="6"/>
      <c r="P502" s="6"/>
    </row>
    <row r="503" spans="12:16">
      <c r="L503" s="6"/>
      <c r="M503" s="6"/>
      <c r="O503" s="6"/>
      <c r="P503" s="6"/>
    </row>
    <row r="504" spans="12:16">
      <c r="L504" s="6"/>
      <c r="M504" s="6"/>
      <c r="O504" s="6"/>
      <c r="P504" s="6"/>
    </row>
    <row r="505" spans="12:16">
      <c r="L505" s="6"/>
      <c r="M505" s="6"/>
      <c r="O505" s="6"/>
      <c r="P505" s="6"/>
    </row>
    <row r="506" spans="12:16">
      <c r="L506" s="6"/>
      <c r="M506" s="6"/>
      <c r="O506" s="6"/>
      <c r="P506" s="6"/>
    </row>
    <row r="507" spans="12:16">
      <c r="L507" s="6"/>
      <c r="M507" s="6"/>
      <c r="O507" s="6"/>
      <c r="P507" s="6"/>
    </row>
    <row r="508" spans="12:16">
      <c r="L508" s="6"/>
      <c r="M508" s="6"/>
      <c r="O508" s="6"/>
      <c r="P508" s="6"/>
    </row>
    <row r="509" spans="12:16">
      <c r="L509" s="6"/>
      <c r="M509" s="6"/>
      <c r="O509" s="6"/>
      <c r="P509" s="6"/>
    </row>
    <row r="510" spans="12:16">
      <c r="L510" s="6"/>
      <c r="M510" s="6"/>
      <c r="O510" s="6"/>
      <c r="P510" s="6"/>
    </row>
    <row r="511" spans="12:16">
      <c r="L511" s="6"/>
      <c r="M511" s="6"/>
      <c r="O511" s="6"/>
      <c r="P511" s="6"/>
    </row>
    <row r="512" spans="12:16">
      <c r="L512" s="6"/>
      <c r="M512" s="6"/>
      <c r="O512" s="6"/>
      <c r="P512" s="6"/>
    </row>
    <row r="513" spans="12:16">
      <c r="L513" s="6"/>
      <c r="M513" s="6"/>
      <c r="O513" s="6"/>
      <c r="P513" s="6"/>
    </row>
    <row r="514" spans="12:16">
      <c r="L514" s="6"/>
      <c r="M514" s="6"/>
      <c r="O514" s="6"/>
      <c r="P514" s="6"/>
    </row>
    <row r="515" spans="12:16">
      <c r="L515" s="6"/>
      <c r="M515" s="6"/>
      <c r="O515" s="6"/>
      <c r="P515" s="6"/>
    </row>
    <row r="516" spans="12:16">
      <c r="L516" s="6"/>
      <c r="M516" s="6"/>
      <c r="O516" s="6"/>
      <c r="P516" s="6"/>
    </row>
    <row r="517" spans="12:16">
      <c r="L517" s="6"/>
      <c r="M517" s="6"/>
      <c r="O517" s="6"/>
      <c r="P517" s="6"/>
    </row>
    <row r="518" spans="12:16">
      <c r="L518" s="6"/>
      <c r="M518" s="6"/>
      <c r="O518" s="6"/>
      <c r="P518" s="6"/>
    </row>
    <row r="519" spans="12:16">
      <c r="L519" s="6"/>
      <c r="M519" s="6"/>
      <c r="O519" s="6"/>
      <c r="P519" s="6"/>
    </row>
    <row r="520" spans="12:16">
      <c r="P520" s="162"/>
    </row>
    <row r="521" spans="12:16">
      <c r="P521" s="162"/>
    </row>
    <row r="522" spans="12:16">
      <c r="P522" s="162"/>
    </row>
    <row r="523" spans="12:16">
      <c r="P523" s="162"/>
    </row>
    <row r="524" spans="12:16">
      <c r="P524" s="162"/>
    </row>
    <row r="525" spans="12:16">
      <c r="P525" s="162"/>
    </row>
    <row r="526" spans="12:16">
      <c r="P526" s="162"/>
    </row>
    <row r="527" spans="12:16">
      <c r="P527" s="162"/>
    </row>
    <row r="528" spans="12:16">
      <c r="P528" s="162"/>
    </row>
    <row r="529" spans="16:16">
      <c r="P529" s="162"/>
    </row>
    <row r="530" spans="16:16">
      <c r="P530" s="162"/>
    </row>
    <row r="531" spans="16:16">
      <c r="P531" s="162"/>
    </row>
    <row r="532" spans="16:16">
      <c r="P532" s="162"/>
    </row>
    <row r="533" spans="16:16">
      <c r="P533" s="162"/>
    </row>
    <row r="534" spans="16:16">
      <c r="P534" s="162"/>
    </row>
    <row r="535" spans="16:16">
      <c r="P535" s="162"/>
    </row>
    <row r="536" spans="16:16">
      <c r="P536" s="162"/>
    </row>
    <row r="537" spans="16:16">
      <c r="P537" s="162"/>
    </row>
    <row r="538" spans="16:16">
      <c r="P538" s="162"/>
    </row>
    <row r="539" spans="16:16">
      <c r="P539" s="162"/>
    </row>
    <row r="540" spans="16:16">
      <c r="P540" s="162"/>
    </row>
    <row r="541" spans="16:16">
      <c r="P541" s="162"/>
    </row>
    <row r="542" spans="16:16">
      <c r="P542" s="162"/>
    </row>
    <row r="543" spans="16:16">
      <c r="P543" s="162"/>
    </row>
    <row r="544" spans="16:16">
      <c r="P544" s="162"/>
    </row>
    <row r="545" spans="16:16">
      <c r="P545" s="162"/>
    </row>
    <row r="546" spans="16:16">
      <c r="P546" s="162"/>
    </row>
    <row r="547" spans="16:16">
      <c r="P547" s="162"/>
    </row>
    <row r="548" spans="16:16">
      <c r="P548" s="162"/>
    </row>
    <row r="549" spans="16:16">
      <c r="P549" s="162"/>
    </row>
    <row r="550" spans="16:16">
      <c r="P550" s="162"/>
    </row>
    <row r="551" spans="16:16">
      <c r="P551" s="162"/>
    </row>
    <row r="552" spans="16:16">
      <c r="P552" s="162"/>
    </row>
    <row r="553" spans="16:16">
      <c r="P553" s="162"/>
    </row>
    <row r="554" spans="16:16">
      <c r="P554" s="162"/>
    </row>
    <row r="555" spans="16:16">
      <c r="P555" s="162"/>
    </row>
    <row r="556" spans="16:16">
      <c r="P556" s="162"/>
    </row>
    <row r="557" spans="16:16">
      <c r="P557" s="162"/>
    </row>
    <row r="558" spans="16:16">
      <c r="P558" s="162"/>
    </row>
    <row r="559" spans="16:16">
      <c r="P559" s="162"/>
    </row>
    <row r="560" spans="16:16">
      <c r="P560" s="162"/>
    </row>
    <row r="561" spans="16:16">
      <c r="P561" s="162"/>
    </row>
    <row r="562" spans="16:16">
      <c r="P562" s="162"/>
    </row>
    <row r="563" spans="16:16">
      <c r="P563" s="162"/>
    </row>
    <row r="564" spans="16:16">
      <c r="P564" s="162"/>
    </row>
    <row r="565" spans="16:16">
      <c r="P565" s="162"/>
    </row>
    <row r="566" spans="16:16">
      <c r="P566" s="162"/>
    </row>
    <row r="567" spans="16:16">
      <c r="P567" s="162"/>
    </row>
    <row r="568" spans="16:16">
      <c r="P568" s="162"/>
    </row>
    <row r="569" spans="16:16">
      <c r="P569" s="162"/>
    </row>
    <row r="570" spans="16:16">
      <c r="P570" s="162"/>
    </row>
    <row r="571" spans="16:16">
      <c r="P571" s="162"/>
    </row>
    <row r="572" spans="16:16">
      <c r="P572" s="162"/>
    </row>
    <row r="573" spans="16:16">
      <c r="P573" s="162"/>
    </row>
    <row r="574" spans="16:16">
      <c r="P574" s="162"/>
    </row>
    <row r="575" spans="16:16">
      <c r="P575" s="162"/>
    </row>
    <row r="576" spans="16:16">
      <c r="P576" s="162"/>
    </row>
    <row r="577" spans="16:16">
      <c r="P577" s="162"/>
    </row>
    <row r="578" spans="16:16">
      <c r="P578" s="162"/>
    </row>
    <row r="579" spans="16:16">
      <c r="P579" s="162"/>
    </row>
    <row r="580" spans="16:16">
      <c r="P580" s="162"/>
    </row>
    <row r="581" spans="16:16">
      <c r="P581" s="162"/>
    </row>
    <row r="582" spans="16:16">
      <c r="P582" s="162"/>
    </row>
    <row r="583" spans="16:16">
      <c r="P583" s="162"/>
    </row>
    <row r="584" spans="16:16">
      <c r="P584" s="162"/>
    </row>
    <row r="585" spans="16:16">
      <c r="P585" s="162"/>
    </row>
    <row r="586" spans="16:16">
      <c r="P586" s="162"/>
    </row>
    <row r="587" spans="16:16">
      <c r="P587" s="162"/>
    </row>
    <row r="588" spans="16:16">
      <c r="P588" s="162"/>
    </row>
    <row r="589" spans="16:16">
      <c r="P589" s="162"/>
    </row>
    <row r="590" spans="16:16">
      <c r="P590" s="162"/>
    </row>
    <row r="591" spans="16:16">
      <c r="P591" s="162"/>
    </row>
    <row r="592" spans="16:16">
      <c r="P592" s="162"/>
    </row>
    <row r="593" spans="16:16">
      <c r="P593" s="162"/>
    </row>
    <row r="594" spans="16:16">
      <c r="P594" s="162"/>
    </row>
    <row r="595" spans="16:16">
      <c r="P595" s="162"/>
    </row>
    <row r="596" spans="16:16">
      <c r="P596" s="162"/>
    </row>
    <row r="597" spans="16:16">
      <c r="P597" s="162"/>
    </row>
    <row r="598" spans="16:16">
      <c r="P598" s="162"/>
    </row>
    <row r="599" spans="16:16">
      <c r="P599" s="162"/>
    </row>
    <row r="600" spans="16:16">
      <c r="P600" s="162"/>
    </row>
    <row r="601" spans="16:16">
      <c r="P601" s="162"/>
    </row>
    <row r="602" spans="16:16">
      <c r="P602" s="162"/>
    </row>
    <row r="603" spans="16:16">
      <c r="P603" s="162"/>
    </row>
    <row r="604" spans="16:16">
      <c r="P604" s="162"/>
    </row>
    <row r="605" spans="16:16">
      <c r="P605" s="162"/>
    </row>
    <row r="606" spans="16:16">
      <c r="P606" s="162"/>
    </row>
    <row r="607" spans="16:16">
      <c r="P607" s="162"/>
    </row>
    <row r="608" spans="16:16">
      <c r="P608" s="162"/>
    </row>
    <row r="609" spans="16:16">
      <c r="P609" s="162"/>
    </row>
    <row r="610" spans="16:16">
      <c r="P610" s="162"/>
    </row>
    <row r="611" spans="16:16">
      <c r="P611" s="162"/>
    </row>
    <row r="612" spans="16:16">
      <c r="P612" s="162"/>
    </row>
    <row r="613" spans="16:16">
      <c r="P613" s="162"/>
    </row>
    <row r="614" spans="16:16">
      <c r="P614" s="162"/>
    </row>
    <row r="615" spans="16:16">
      <c r="P615" s="162"/>
    </row>
    <row r="616" spans="16:16">
      <c r="P616" s="162"/>
    </row>
    <row r="617" spans="16:16">
      <c r="P617" s="162"/>
    </row>
    <row r="618" spans="16:16">
      <c r="P618" s="162"/>
    </row>
    <row r="619" spans="16:16">
      <c r="P619" s="162"/>
    </row>
    <row r="620" spans="16:16">
      <c r="P620" s="162"/>
    </row>
    <row r="621" spans="16:16">
      <c r="P621" s="162"/>
    </row>
    <row r="622" spans="16:16">
      <c r="P622" s="162"/>
    </row>
    <row r="623" spans="16:16">
      <c r="P623" s="162"/>
    </row>
    <row r="624" spans="16:16">
      <c r="P624" s="162"/>
    </row>
    <row r="625" spans="16:16">
      <c r="P625" s="162"/>
    </row>
    <row r="626" spans="16:16">
      <c r="P626" s="162"/>
    </row>
    <row r="627" spans="16:16">
      <c r="P627" s="162"/>
    </row>
    <row r="628" spans="16:16">
      <c r="P628" s="162"/>
    </row>
    <row r="629" spans="16:16">
      <c r="P629" s="162"/>
    </row>
    <row r="630" spans="16:16">
      <c r="P630" s="162"/>
    </row>
    <row r="631" spans="16:16">
      <c r="P631" s="162"/>
    </row>
    <row r="632" spans="16:16">
      <c r="P632" s="162"/>
    </row>
    <row r="633" spans="16:16">
      <c r="P633" s="162"/>
    </row>
    <row r="634" spans="16:16">
      <c r="P634" s="162"/>
    </row>
    <row r="635" spans="16:16">
      <c r="P635" s="162"/>
    </row>
    <row r="636" spans="16:16">
      <c r="P636" s="162"/>
    </row>
    <row r="637" spans="16:16">
      <c r="P637" s="162"/>
    </row>
    <row r="638" spans="16:16">
      <c r="P638" s="162"/>
    </row>
    <row r="639" spans="16:16">
      <c r="P639" s="162"/>
    </row>
    <row r="640" spans="16:16">
      <c r="P640" s="162"/>
    </row>
    <row r="641" spans="16:16">
      <c r="P641" s="162"/>
    </row>
    <row r="642" spans="16:16">
      <c r="P642" s="162"/>
    </row>
    <row r="643" spans="16:16">
      <c r="P643" s="162"/>
    </row>
    <row r="644" spans="16:16">
      <c r="P644" s="162"/>
    </row>
    <row r="645" spans="16:16">
      <c r="P645" s="162"/>
    </row>
    <row r="646" spans="16:16">
      <c r="P646" s="162"/>
    </row>
    <row r="647" spans="16:16">
      <c r="P647" s="162"/>
    </row>
    <row r="648" spans="16:16">
      <c r="P648" s="162"/>
    </row>
    <row r="649" spans="16:16">
      <c r="P649" s="162"/>
    </row>
    <row r="650" spans="16:16">
      <c r="P650" s="162"/>
    </row>
    <row r="651" spans="16:16">
      <c r="P651" s="162"/>
    </row>
    <row r="652" spans="16:16">
      <c r="P652" s="162"/>
    </row>
    <row r="653" spans="16:16">
      <c r="P653" s="162"/>
    </row>
    <row r="654" spans="16:16">
      <c r="P654" s="162"/>
    </row>
    <row r="655" spans="16:16">
      <c r="P655" s="162"/>
    </row>
    <row r="656" spans="16:16">
      <c r="P656" s="162"/>
    </row>
    <row r="657" spans="16:16">
      <c r="P657" s="162"/>
    </row>
    <row r="658" spans="16:16">
      <c r="P658" s="162"/>
    </row>
    <row r="659" spans="16:16">
      <c r="P659" s="162"/>
    </row>
    <row r="660" spans="16:16">
      <c r="P660" s="162"/>
    </row>
    <row r="661" spans="16:16">
      <c r="P661" s="162"/>
    </row>
    <row r="662" spans="16:16">
      <c r="P662" s="162"/>
    </row>
    <row r="663" spans="16:16">
      <c r="P663" s="162"/>
    </row>
    <row r="664" spans="16:16">
      <c r="P664" s="162"/>
    </row>
    <row r="665" spans="16:16">
      <c r="P665" s="162"/>
    </row>
    <row r="666" spans="16:16">
      <c r="P666" s="162"/>
    </row>
    <row r="667" spans="16:16">
      <c r="P667" s="162"/>
    </row>
    <row r="668" spans="16:16">
      <c r="P668" s="162"/>
    </row>
    <row r="669" spans="16:16">
      <c r="P669" s="162"/>
    </row>
    <row r="670" spans="16:16">
      <c r="P670" s="162"/>
    </row>
    <row r="671" spans="16:16">
      <c r="P671" s="162"/>
    </row>
    <row r="672" spans="16:16">
      <c r="P672" s="162"/>
    </row>
    <row r="673" spans="16:16">
      <c r="P673" s="162"/>
    </row>
    <row r="674" spans="16:16">
      <c r="P674" s="162"/>
    </row>
    <row r="675" spans="16:16">
      <c r="P675" s="162"/>
    </row>
    <row r="676" spans="16:16">
      <c r="P676" s="162"/>
    </row>
    <row r="677" spans="16:16">
      <c r="P677" s="162"/>
    </row>
    <row r="678" spans="16:16">
      <c r="P678" s="162"/>
    </row>
    <row r="679" spans="16:16">
      <c r="P679" s="162"/>
    </row>
    <row r="680" spans="16:16">
      <c r="P680" s="162"/>
    </row>
    <row r="681" spans="16:16">
      <c r="P681" s="162"/>
    </row>
    <row r="682" spans="16:16">
      <c r="P682" s="162"/>
    </row>
    <row r="683" spans="16:16">
      <c r="P683" s="162"/>
    </row>
    <row r="684" spans="16:16">
      <c r="P684" s="162"/>
    </row>
    <row r="685" spans="16:16">
      <c r="P685" s="162"/>
    </row>
    <row r="686" spans="16:16">
      <c r="P686" s="162"/>
    </row>
    <row r="687" spans="16:16">
      <c r="P687" s="162"/>
    </row>
    <row r="688" spans="16:16">
      <c r="P688" s="162"/>
    </row>
    <row r="689" spans="16:16">
      <c r="P689" s="162"/>
    </row>
    <row r="690" spans="16:16">
      <c r="P690" s="162"/>
    </row>
    <row r="691" spans="16:16">
      <c r="P691" s="162"/>
    </row>
    <row r="692" spans="16:16">
      <c r="P692" s="162"/>
    </row>
    <row r="693" spans="16:16">
      <c r="P693" s="162"/>
    </row>
    <row r="694" spans="16:16">
      <c r="P694" s="162"/>
    </row>
    <row r="695" spans="16:16">
      <c r="P695" s="162"/>
    </row>
    <row r="696" spans="16:16">
      <c r="P696" s="162"/>
    </row>
    <row r="697" spans="16:16">
      <c r="P697" s="162"/>
    </row>
    <row r="698" spans="16:16">
      <c r="P698" s="162"/>
    </row>
    <row r="699" spans="16:16">
      <c r="P699" s="162"/>
    </row>
    <row r="700" spans="16:16">
      <c r="P700" s="162"/>
    </row>
    <row r="701" spans="16:16">
      <c r="P701" s="162"/>
    </row>
    <row r="702" spans="16:16">
      <c r="P702" s="162"/>
    </row>
    <row r="703" spans="16:16">
      <c r="P703" s="162"/>
    </row>
    <row r="704" spans="16:16">
      <c r="P704" s="162"/>
    </row>
    <row r="705" spans="16:16">
      <c r="P705" s="162"/>
    </row>
    <row r="706" spans="16:16">
      <c r="P706" s="162"/>
    </row>
    <row r="707" spans="16:16">
      <c r="P707" s="162"/>
    </row>
    <row r="708" spans="16:16">
      <c r="P708" s="162"/>
    </row>
    <row r="709" spans="16:16">
      <c r="P709" s="162"/>
    </row>
    <row r="710" spans="16:16">
      <c r="P710" s="162"/>
    </row>
    <row r="711" spans="16:16">
      <c r="P711" s="162"/>
    </row>
    <row r="712" spans="16:16">
      <c r="P712" s="162"/>
    </row>
    <row r="713" spans="16:16">
      <c r="P713" s="162"/>
    </row>
    <row r="714" spans="16:16">
      <c r="P714" s="162"/>
    </row>
    <row r="715" spans="16:16">
      <c r="P715" s="162"/>
    </row>
    <row r="716" spans="16:16">
      <c r="P716" s="162"/>
    </row>
    <row r="717" spans="16:16">
      <c r="P717" s="162"/>
    </row>
    <row r="718" spans="16:16">
      <c r="P718" s="162"/>
    </row>
    <row r="719" spans="16:16">
      <c r="P719" s="162"/>
    </row>
    <row r="720" spans="16:16">
      <c r="P720" s="162"/>
    </row>
    <row r="721" spans="16:16">
      <c r="P721" s="162"/>
    </row>
    <row r="722" spans="16:16">
      <c r="P722" s="162"/>
    </row>
    <row r="723" spans="16:16">
      <c r="P723" s="162"/>
    </row>
    <row r="724" spans="16:16">
      <c r="P724" s="162"/>
    </row>
    <row r="725" spans="16:16">
      <c r="P725" s="162"/>
    </row>
    <row r="726" spans="16:16">
      <c r="P726" s="162"/>
    </row>
    <row r="727" spans="16:16">
      <c r="P727" s="162"/>
    </row>
    <row r="728" spans="16:16">
      <c r="P728" s="162"/>
    </row>
    <row r="729" spans="16:16">
      <c r="P729" s="162"/>
    </row>
    <row r="730" spans="16:16">
      <c r="P730" s="162"/>
    </row>
    <row r="731" spans="16:16">
      <c r="P731" s="162"/>
    </row>
    <row r="732" spans="16:16">
      <c r="P732" s="162"/>
    </row>
    <row r="733" spans="16:16">
      <c r="P733" s="162"/>
    </row>
    <row r="734" spans="16:16">
      <c r="P734" s="162"/>
    </row>
    <row r="735" spans="16:16">
      <c r="P735" s="162"/>
    </row>
    <row r="736" spans="16:16">
      <c r="P736" s="162"/>
    </row>
    <row r="737" spans="16:16">
      <c r="P737" s="162"/>
    </row>
    <row r="738" spans="16:16">
      <c r="P738" s="162"/>
    </row>
    <row r="739" spans="16:16">
      <c r="P739" s="162"/>
    </row>
    <row r="740" spans="16:16">
      <c r="P740" s="162"/>
    </row>
    <row r="741" spans="16:16">
      <c r="P741" s="162"/>
    </row>
    <row r="742" spans="16:16">
      <c r="P742" s="162"/>
    </row>
    <row r="743" spans="16:16">
      <c r="P743" s="162"/>
    </row>
    <row r="744" spans="16:16">
      <c r="P744" s="162"/>
    </row>
    <row r="745" spans="16:16">
      <c r="P745" s="162"/>
    </row>
    <row r="746" spans="16:16">
      <c r="P746" s="162"/>
    </row>
    <row r="747" spans="16:16">
      <c r="P747" s="162"/>
    </row>
    <row r="748" spans="16:16">
      <c r="P748" s="162"/>
    </row>
    <row r="749" spans="16:16">
      <c r="P749" s="162"/>
    </row>
    <row r="750" spans="16:16">
      <c r="P750" s="162"/>
    </row>
    <row r="751" spans="16:16">
      <c r="P751" s="162"/>
    </row>
    <row r="752" spans="16:16">
      <c r="P752" s="162"/>
    </row>
    <row r="753" spans="16:16">
      <c r="P753" s="162"/>
    </row>
    <row r="754" spans="16:16">
      <c r="P754" s="162"/>
    </row>
    <row r="755" spans="16:16">
      <c r="P755" s="162"/>
    </row>
    <row r="756" spans="16:16">
      <c r="P756" s="162"/>
    </row>
    <row r="757" spans="16:16">
      <c r="P757" s="162"/>
    </row>
    <row r="758" spans="16:16">
      <c r="P758" s="162"/>
    </row>
    <row r="759" spans="16:16">
      <c r="P759" s="162"/>
    </row>
    <row r="760" spans="16:16">
      <c r="P760" s="162"/>
    </row>
    <row r="761" spans="16:16">
      <c r="P761" s="162"/>
    </row>
    <row r="762" spans="16:16">
      <c r="P762" s="162"/>
    </row>
    <row r="763" spans="16:16">
      <c r="P763" s="162"/>
    </row>
    <row r="764" spans="16:16">
      <c r="P764" s="162"/>
    </row>
    <row r="765" spans="16:16">
      <c r="P765" s="162"/>
    </row>
    <row r="766" spans="16:16">
      <c r="P766" s="162"/>
    </row>
    <row r="767" spans="16:16">
      <c r="P767" s="162"/>
    </row>
    <row r="768" spans="16:16">
      <c r="P768" s="162"/>
    </row>
    <row r="769" spans="16:16">
      <c r="P769" s="162"/>
    </row>
    <row r="770" spans="16:16">
      <c r="P770" s="162"/>
    </row>
    <row r="771" spans="16:16">
      <c r="P771" s="162"/>
    </row>
    <row r="772" spans="16:16">
      <c r="P772" s="162"/>
    </row>
    <row r="773" spans="16:16">
      <c r="P773" s="162"/>
    </row>
    <row r="774" spans="16:16">
      <c r="P774" s="162"/>
    </row>
    <row r="775" spans="16:16">
      <c r="P775" s="162"/>
    </row>
    <row r="776" spans="16:16">
      <c r="P776" s="162"/>
    </row>
    <row r="777" spans="16:16">
      <c r="P777" s="162"/>
    </row>
    <row r="778" spans="16:16">
      <c r="P778" s="162"/>
    </row>
    <row r="779" spans="16:16">
      <c r="P779" s="162"/>
    </row>
    <row r="780" spans="16:16">
      <c r="P780" s="162"/>
    </row>
    <row r="781" spans="16:16">
      <c r="P781" s="162"/>
    </row>
    <row r="782" spans="16:16">
      <c r="P782" s="162"/>
    </row>
    <row r="783" spans="16:16">
      <c r="P783" s="162"/>
    </row>
    <row r="784" spans="16:16">
      <c r="P784" s="162"/>
    </row>
    <row r="785" spans="16:16">
      <c r="P785" s="162"/>
    </row>
    <row r="786" spans="16:16">
      <c r="P786" s="162"/>
    </row>
    <row r="787" spans="16:16">
      <c r="P787" s="162"/>
    </row>
    <row r="788" spans="16:16">
      <c r="P788" s="162"/>
    </row>
    <row r="789" spans="16:16">
      <c r="P789" s="162"/>
    </row>
    <row r="790" spans="16:16">
      <c r="P790" s="162"/>
    </row>
    <row r="791" spans="16:16">
      <c r="P791" s="162"/>
    </row>
    <row r="792" spans="16:16">
      <c r="P792" s="162"/>
    </row>
    <row r="793" spans="16:16">
      <c r="P793" s="162"/>
    </row>
    <row r="794" spans="16:16">
      <c r="P794" s="162"/>
    </row>
    <row r="795" spans="16:16">
      <c r="P795" s="162"/>
    </row>
    <row r="796" spans="16:16">
      <c r="P796" s="162"/>
    </row>
    <row r="797" spans="16:16">
      <c r="P797" s="162"/>
    </row>
    <row r="798" spans="16:16">
      <c r="P798" s="162"/>
    </row>
    <row r="799" spans="16:16">
      <c r="P799" s="162"/>
    </row>
    <row r="800" spans="16:16">
      <c r="P800" s="162"/>
    </row>
    <row r="801" spans="16:16">
      <c r="P801" s="162"/>
    </row>
    <row r="802" spans="16:16">
      <c r="P802" s="162"/>
    </row>
    <row r="803" spans="16:16">
      <c r="P803" s="162"/>
    </row>
    <row r="804" spans="16:16">
      <c r="P804" s="162"/>
    </row>
    <row r="805" spans="16:16">
      <c r="P805" s="162"/>
    </row>
    <row r="806" spans="16:16">
      <c r="P806" s="162"/>
    </row>
    <row r="807" spans="16:16">
      <c r="P807" s="162"/>
    </row>
    <row r="808" spans="16:16">
      <c r="P808" s="162"/>
    </row>
    <row r="809" spans="16:16">
      <c r="P809" s="162"/>
    </row>
    <row r="810" spans="16:16">
      <c r="P810" s="162"/>
    </row>
    <row r="811" spans="16:16">
      <c r="P811" s="162"/>
    </row>
    <row r="812" spans="16:16">
      <c r="P812" s="162"/>
    </row>
    <row r="813" spans="16:16">
      <c r="P813" s="162"/>
    </row>
    <row r="814" spans="16:16">
      <c r="P814" s="162"/>
    </row>
    <row r="815" spans="16:16">
      <c r="P815" s="162"/>
    </row>
    <row r="816" spans="16:16">
      <c r="P816" s="162"/>
    </row>
    <row r="817" spans="16:16">
      <c r="P817" s="162"/>
    </row>
    <row r="818" spans="16:16">
      <c r="P818" s="162"/>
    </row>
    <row r="819" spans="16:16">
      <c r="P819" s="162"/>
    </row>
    <row r="820" spans="16:16">
      <c r="P820" s="162"/>
    </row>
    <row r="821" spans="16:16">
      <c r="P821" s="162"/>
    </row>
    <row r="822" spans="16:16">
      <c r="P822" s="162"/>
    </row>
    <row r="823" spans="16:16">
      <c r="P823" s="162"/>
    </row>
    <row r="824" spans="16:16">
      <c r="P824" s="162"/>
    </row>
    <row r="825" spans="16:16">
      <c r="P825" s="162"/>
    </row>
    <row r="826" spans="16:16">
      <c r="P826" s="162"/>
    </row>
    <row r="827" spans="16:16">
      <c r="P827" s="162"/>
    </row>
    <row r="828" spans="16:16">
      <c r="P828" s="162"/>
    </row>
    <row r="829" spans="16:16">
      <c r="P829" s="162"/>
    </row>
    <row r="830" spans="16:16">
      <c r="P830" s="162"/>
    </row>
    <row r="831" spans="16:16">
      <c r="P831" s="162"/>
    </row>
    <row r="832" spans="16:16">
      <c r="P832" s="162"/>
    </row>
    <row r="833" spans="16:16">
      <c r="P833" s="162"/>
    </row>
    <row r="834" spans="16:16">
      <c r="P834" s="162"/>
    </row>
    <row r="835" spans="16:16">
      <c r="P835" s="162"/>
    </row>
    <row r="836" spans="16:16">
      <c r="P836" s="162"/>
    </row>
    <row r="837" spans="16:16">
      <c r="P837" s="162"/>
    </row>
    <row r="838" spans="16:16">
      <c r="P838" s="162"/>
    </row>
    <row r="839" spans="16:16">
      <c r="P839" s="162"/>
    </row>
    <row r="840" spans="16:16">
      <c r="P840" s="162"/>
    </row>
    <row r="841" spans="16:16">
      <c r="P841" s="162"/>
    </row>
    <row r="842" spans="16:16">
      <c r="P842" s="162"/>
    </row>
    <row r="843" spans="16:16">
      <c r="P843" s="162"/>
    </row>
    <row r="844" spans="16:16">
      <c r="P844" s="162"/>
    </row>
    <row r="845" spans="16:16">
      <c r="P845" s="162"/>
    </row>
    <row r="846" spans="16:16">
      <c r="P846" s="162"/>
    </row>
    <row r="847" spans="16:16">
      <c r="P847" s="162"/>
    </row>
    <row r="848" spans="16:16">
      <c r="P848" s="162"/>
    </row>
    <row r="849" spans="16:16">
      <c r="P849" s="162"/>
    </row>
    <row r="850" spans="16:16">
      <c r="P850" s="162"/>
    </row>
    <row r="851" spans="16:16">
      <c r="P851" s="162"/>
    </row>
    <row r="852" spans="16:16">
      <c r="P852" s="162"/>
    </row>
    <row r="853" spans="16:16">
      <c r="P853" s="162"/>
    </row>
    <row r="854" spans="16:16">
      <c r="P854" s="162"/>
    </row>
    <row r="855" spans="16:16">
      <c r="P855" s="162"/>
    </row>
    <row r="856" spans="16:16">
      <c r="P856" s="162"/>
    </row>
    <row r="857" spans="16:16">
      <c r="P857" s="162"/>
    </row>
    <row r="858" spans="16:16">
      <c r="P858" s="162"/>
    </row>
    <row r="859" spans="16:16">
      <c r="P859" s="162"/>
    </row>
    <row r="860" spans="16:16">
      <c r="P860" s="162"/>
    </row>
    <row r="861" spans="16:16">
      <c r="P861" s="162"/>
    </row>
    <row r="862" spans="16:16">
      <c r="P862" s="162"/>
    </row>
    <row r="863" spans="16:16">
      <c r="P863" s="162"/>
    </row>
    <row r="864" spans="16:16">
      <c r="P864" s="162"/>
    </row>
    <row r="865" spans="16:16">
      <c r="P865" s="162"/>
    </row>
    <row r="866" spans="16:16">
      <c r="P866" s="162"/>
    </row>
    <row r="867" spans="16:16">
      <c r="P867" s="162"/>
    </row>
    <row r="868" spans="16:16">
      <c r="P868" s="162"/>
    </row>
    <row r="869" spans="16:16">
      <c r="P869" s="162"/>
    </row>
    <row r="870" spans="16:16">
      <c r="P870" s="162"/>
    </row>
    <row r="871" spans="16:16">
      <c r="P871" s="162"/>
    </row>
    <row r="872" spans="16:16">
      <c r="P872" s="162"/>
    </row>
    <row r="873" spans="16:16">
      <c r="P873" s="162"/>
    </row>
    <row r="874" spans="16:16">
      <c r="P874" s="162"/>
    </row>
    <row r="875" spans="16:16">
      <c r="P875" s="162"/>
    </row>
    <row r="876" spans="16:16">
      <c r="P876" s="162"/>
    </row>
    <row r="877" spans="16:16">
      <c r="P877" s="162"/>
    </row>
    <row r="878" spans="16:16">
      <c r="P878" s="162"/>
    </row>
    <row r="879" spans="16:16">
      <c r="P879" s="162"/>
    </row>
    <row r="880" spans="16:16">
      <c r="P880" s="162"/>
    </row>
    <row r="881" spans="16:16">
      <c r="P881" s="162"/>
    </row>
    <row r="882" spans="16:16">
      <c r="P882" s="162"/>
    </row>
    <row r="883" spans="16:16">
      <c r="P883" s="162"/>
    </row>
    <row r="884" spans="16:16">
      <c r="P884" s="162"/>
    </row>
    <row r="885" spans="16:16">
      <c r="P885" s="162"/>
    </row>
    <row r="886" spans="16:16">
      <c r="P886" s="162"/>
    </row>
    <row r="887" spans="16:16">
      <c r="P887" s="162"/>
    </row>
    <row r="888" spans="16:16">
      <c r="P888" s="162"/>
    </row>
    <row r="889" spans="16:16">
      <c r="P889" s="162"/>
    </row>
    <row r="890" spans="16:16">
      <c r="P890" s="162"/>
    </row>
    <row r="891" spans="16:16">
      <c r="P891" s="162"/>
    </row>
    <row r="892" spans="16:16">
      <c r="P892" s="162"/>
    </row>
    <row r="893" spans="16:16">
      <c r="P893" s="162"/>
    </row>
    <row r="894" spans="16:16">
      <c r="P894" s="162"/>
    </row>
    <row r="895" spans="16:16">
      <c r="P895" s="162"/>
    </row>
    <row r="896" spans="16:16">
      <c r="P896" s="162"/>
    </row>
    <row r="897" spans="16:16">
      <c r="P897" s="162"/>
    </row>
    <row r="898" spans="16:16">
      <c r="P898" s="162"/>
    </row>
    <row r="899" spans="16:16">
      <c r="P899" s="162"/>
    </row>
    <row r="900" spans="16:16">
      <c r="P900" s="162"/>
    </row>
    <row r="901" spans="16:16">
      <c r="P901" s="162"/>
    </row>
    <row r="902" spans="16:16">
      <c r="P902" s="162"/>
    </row>
    <row r="903" spans="16:16">
      <c r="P903" s="162"/>
    </row>
    <row r="904" spans="16:16">
      <c r="P904" s="162"/>
    </row>
    <row r="905" spans="16:16">
      <c r="P905" s="162"/>
    </row>
    <row r="906" spans="16:16">
      <c r="P906" s="162"/>
    </row>
    <row r="907" spans="16:16">
      <c r="P907" s="162"/>
    </row>
    <row r="908" spans="16:16">
      <c r="P908" s="162"/>
    </row>
    <row r="909" spans="16:16">
      <c r="P909" s="162"/>
    </row>
    <row r="910" spans="16:16">
      <c r="P910" s="162"/>
    </row>
    <row r="911" spans="16:16">
      <c r="P911" s="162"/>
    </row>
    <row r="912" spans="16:16">
      <c r="P912" s="162"/>
    </row>
    <row r="913" spans="16:16">
      <c r="P913" s="162"/>
    </row>
    <row r="914" spans="16:16">
      <c r="P914" s="162"/>
    </row>
    <row r="915" spans="16:16">
      <c r="P915" s="162"/>
    </row>
    <row r="916" spans="16:16">
      <c r="P916" s="162"/>
    </row>
    <row r="917" spans="16:16">
      <c r="P917" s="162"/>
    </row>
    <row r="918" spans="16:16">
      <c r="P918" s="162"/>
    </row>
    <row r="919" spans="16:16">
      <c r="P919" s="162"/>
    </row>
    <row r="920" spans="16:16">
      <c r="P920" s="162"/>
    </row>
    <row r="921" spans="16:16">
      <c r="P921" s="162"/>
    </row>
    <row r="922" spans="16:16">
      <c r="P922" s="162"/>
    </row>
    <row r="923" spans="16:16">
      <c r="P923" s="162"/>
    </row>
    <row r="924" spans="16:16">
      <c r="P924" s="162"/>
    </row>
    <row r="925" spans="16:16">
      <c r="P925" s="162"/>
    </row>
    <row r="926" spans="16:16">
      <c r="P926" s="162"/>
    </row>
    <row r="927" spans="16:16">
      <c r="P927" s="162"/>
    </row>
    <row r="928" spans="16:16">
      <c r="P928" s="162"/>
    </row>
    <row r="929" spans="16:16">
      <c r="P929" s="162"/>
    </row>
    <row r="930" spans="16:16">
      <c r="P930" s="162"/>
    </row>
    <row r="931" spans="16:16">
      <c r="P931" s="162"/>
    </row>
    <row r="932" spans="16:16">
      <c r="P932" s="162"/>
    </row>
    <row r="933" spans="16:16">
      <c r="P933" s="162"/>
    </row>
    <row r="934" spans="16:16">
      <c r="P934" s="162"/>
    </row>
    <row r="935" spans="16:16">
      <c r="P935" s="162"/>
    </row>
    <row r="936" spans="16:16">
      <c r="P936" s="162"/>
    </row>
    <row r="937" spans="16:16">
      <c r="P937" s="162"/>
    </row>
    <row r="938" spans="16:16">
      <c r="P938" s="162"/>
    </row>
    <row r="939" spans="16:16">
      <c r="P939" s="162"/>
    </row>
    <row r="940" spans="16:16">
      <c r="P940" s="162"/>
    </row>
    <row r="941" spans="16:16">
      <c r="P941" s="162"/>
    </row>
    <row r="942" spans="16:16">
      <c r="P942" s="162"/>
    </row>
    <row r="943" spans="16:16">
      <c r="P943" s="162"/>
    </row>
    <row r="944" spans="16:16">
      <c r="P944" s="162"/>
    </row>
    <row r="945" spans="16:16">
      <c r="P945" s="162"/>
    </row>
    <row r="946" spans="16:16">
      <c r="P946" s="162"/>
    </row>
    <row r="947" spans="16:16">
      <c r="P947" s="162"/>
    </row>
    <row r="948" spans="16:16">
      <c r="P948" s="162"/>
    </row>
    <row r="949" spans="16:16">
      <c r="P949" s="162"/>
    </row>
    <row r="950" spans="16:16">
      <c r="P950" s="162"/>
    </row>
    <row r="951" spans="16:16">
      <c r="P951" s="162"/>
    </row>
    <row r="952" spans="16:16">
      <c r="P952" s="162"/>
    </row>
    <row r="953" spans="16:16">
      <c r="P953" s="162"/>
    </row>
    <row r="954" spans="16:16">
      <c r="P954" s="162"/>
    </row>
    <row r="955" spans="16:16">
      <c r="P955" s="162"/>
    </row>
    <row r="956" spans="16:16">
      <c r="P956" s="162"/>
    </row>
    <row r="957" spans="16:16">
      <c r="P957" s="162"/>
    </row>
    <row r="958" spans="16:16">
      <c r="P958" s="162"/>
    </row>
    <row r="959" spans="16:16">
      <c r="P959" s="162"/>
    </row>
    <row r="960" spans="16:16">
      <c r="P960" s="162"/>
    </row>
    <row r="961" spans="16:16">
      <c r="P961" s="162"/>
    </row>
    <row r="962" spans="16:16">
      <c r="P962" s="162"/>
    </row>
    <row r="963" spans="16:16">
      <c r="P963" s="162"/>
    </row>
    <row r="964" spans="16:16">
      <c r="P964" s="162"/>
    </row>
    <row r="965" spans="16:16">
      <c r="P965" s="162"/>
    </row>
    <row r="966" spans="16:16">
      <c r="P966" s="162"/>
    </row>
    <row r="967" spans="16:16">
      <c r="P967" s="162"/>
    </row>
    <row r="968" spans="16:16">
      <c r="P968" s="162"/>
    </row>
    <row r="969" spans="16:16">
      <c r="P969" s="162"/>
    </row>
    <row r="970" spans="16:16">
      <c r="P970" s="162"/>
    </row>
    <row r="971" spans="16:16">
      <c r="P971" s="162"/>
    </row>
    <row r="972" spans="16:16">
      <c r="P972" s="162"/>
    </row>
    <row r="973" spans="16:16">
      <c r="P973" s="162"/>
    </row>
    <row r="974" spans="16:16">
      <c r="P974" s="162"/>
    </row>
    <row r="975" spans="16:16">
      <c r="P975" s="162"/>
    </row>
    <row r="976" spans="16:16">
      <c r="P976" s="162"/>
    </row>
    <row r="977" spans="16:16">
      <c r="P977" s="162"/>
    </row>
    <row r="978" spans="16:16">
      <c r="P978" s="162"/>
    </row>
    <row r="979" spans="16:16">
      <c r="P979" s="162"/>
    </row>
    <row r="980" spans="16:16">
      <c r="P980" s="162"/>
    </row>
    <row r="981" spans="16:16">
      <c r="P981" s="162"/>
    </row>
    <row r="982" spans="16:16">
      <c r="P982" s="162"/>
    </row>
    <row r="983" spans="16:16">
      <c r="P983" s="162"/>
    </row>
    <row r="984" spans="16:16">
      <c r="P984" s="162"/>
    </row>
    <row r="985" spans="16:16">
      <c r="P985" s="162"/>
    </row>
    <row r="986" spans="16:16">
      <c r="P986" s="162"/>
    </row>
    <row r="987" spans="16:16">
      <c r="P987" s="162"/>
    </row>
    <row r="988" spans="16:16">
      <c r="P988" s="162"/>
    </row>
    <row r="989" spans="16:16">
      <c r="P989" s="162"/>
    </row>
    <row r="990" spans="16:16">
      <c r="P990" s="162"/>
    </row>
    <row r="991" spans="16:16">
      <c r="P991" s="162"/>
    </row>
    <row r="992" spans="16:16">
      <c r="P992" s="162"/>
    </row>
    <row r="993" spans="16:16">
      <c r="P993" s="162"/>
    </row>
    <row r="994" spans="16:16">
      <c r="P994" s="162"/>
    </row>
    <row r="995" spans="16:16">
      <c r="P995" s="162"/>
    </row>
    <row r="996" spans="16:16">
      <c r="P996" s="162"/>
    </row>
    <row r="997" spans="16:16">
      <c r="P997" s="162"/>
    </row>
    <row r="998" spans="16:16">
      <c r="P998" s="162"/>
    </row>
    <row r="999" spans="16:16">
      <c r="P999" s="162"/>
    </row>
    <row r="1000" spans="16:16">
      <c r="P1000" s="162"/>
    </row>
    <row r="1001" spans="16:16">
      <c r="P1001" s="162"/>
    </row>
    <row r="1002" spans="16:16">
      <c r="P1002" s="162"/>
    </row>
    <row r="1003" spans="16:16">
      <c r="P1003" s="162"/>
    </row>
    <row r="1004" spans="16:16">
      <c r="P1004" s="162"/>
    </row>
    <row r="1005" spans="16:16">
      <c r="P1005" s="162"/>
    </row>
    <row r="1006" spans="16:16">
      <c r="P1006" s="162"/>
    </row>
    <row r="1007" spans="16:16">
      <c r="P1007" s="162"/>
    </row>
    <row r="1008" spans="16:16">
      <c r="P1008" s="162"/>
    </row>
    <row r="1009" spans="16:16">
      <c r="P1009" s="162"/>
    </row>
    <row r="1010" spans="16:16">
      <c r="P1010" s="162"/>
    </row>
    <row r="1011" spans="16:16">
      <c r="P1011" s="162"/>
    </row>
    <row r="1012" spans="16:16">
      <c r="P1012" s="162"/>
    </row>
    <row r="1013" spans="16:16">
      <c r="P1013" s="162"/>
    </row>
    <row r="1014" spans="16:16">
      <c r="P1014" s="162"/>
    </row>
    <row r="1015" spans="16:16">
      <c r="P1015" s="162"/>
    </row>
    <row r="1016" spans="16:16">
      <c r="P1016" s="162"/>
    </row>
    <row r="1017" spans="16:16">
      <c r="P1017" s="162"/>
    </row>
    <row r="1018" spans="16:16">
      <c r="P1018" s="162"/>
    </row>
    <row r="1019" spans="16:16">
      <c r="P1019" s="162"/>
    </row>
    <row r="1020" spans="16:16">
      <c r="P1020" s="162"/>
    </row>
    <row r="1021" spans="16:16">
      <c r="P1021" s="162"/>
    </row>
    <row r="1022" spans="16:16">
      <c r="P1022" s="162"/>
    </row>
    <row r="1023" spans="16:16">
      <c r="P1023" s="162"/>
    </row>
    <row r="1024" spans="16:16">
      <c r="P1024" s="162"/>
    </row>
    <row r="1025" spans="16:16">
      <c r="P1025" s="162"/>
    </row>
    <row r="1026" spans="16:16">
      <c r="P1026" s="162"/>
    </row>
    <row r="1027" spans="16:16">
      <c r="P1027" s="162"/>
    </row>
    <row r="1028" spans="16:16">
      <c r="P1028" s="162"/>
    </row>
    <row r="1029" spans="16:16">
      <c r="P1029" s="162"/>
    </row>
    <row r="1030" spans="16:16">
      <c r="P1030" s="162"/>
    </row>
    <row r="1031" spans="16:16">
      <c r="P1031" s="162"/>
    </row>
    <row r="1032" spans="16:16">
      <c r="P1032" s="162"/>
    </row>
    <row r="1033" spans="16:16">
      <c r="P1033" s="162"/>
    </row>
    <row r="1034" spans="16:16">
      <c r="P1034" s="162"/>
    </row>
    <row r="1035" spans="16:16">
      <c r="P1035" s="162"/>
    </row>
    <row r="1036" spans="16:16">
      <c r="P1036" s="162"/>
    </row>
    <row r="1037" spans="16:16">
      <c r="P1037" s="162"/>
    </row>
    <row r="1038" spans="16:16">
      <c r="P1038" s="162"/>
    </row>
    <row r="1039" spans="16:16">
      <c r="P1039" s="162"/>
    </row>
    <row r="1040" spans="16:16">
      <c r="P1040" s="162"/>
    </row>
    <row r="1041" spans="16:16">
      <c r="P1041" s="162"/>
    </row>
    <row r="1042" spans="16:16">
      <c r="P1042" s="162"/>
    </row>
    <row r="1043" spans="16:16">
      <c r="P1043" s="162"/>
    </row>
    <row r="1044" spans="16:16">
      <c r="P1044" s="162"/>
    </row>
    <row r="1045" spans="16:16">
      <c r="P1045" s="162"/>
    </row>
    <row r="1046" spans="16:16">
      <c r="P1046" s="162"/>
    </row>
    <row r="1047" spans="16:16">
      <c r="P1047" s="162"/>
    </row>
    <row r="1048" spans="16:16">
      <c r="P1048" s="162"/>
    </row>
    <row r="1049" spans="16:16">
      <c r="P1049" s="162"/>
    </row>
    <row r="1050" spans="16:16">
      <c r="P1050" s="162"/>
    </row>
    <row r="1051" spans="16:16">
      <c r="P1051" s="162"/>
    </row>
    <row r="1052" spans="16:16">
      <c r="P1052" s="162"/>
    </row>
    <row r="1053" spans="16:16">
      <c r="P1053" s="162"/>
    </row>
    <row r="1054" spans="16:16">
      <c r="P1054" s="162"/>
    </row>
    <row r="1055" spans="16:16">
      <c r="P1055" s="162"/>
    </row>
    <row r="1056" spans="16:16">
      <c r="P1056" s="162"/>
    </row>
    <row r="1057" spans="16:16">
      <c r="P1057" s="162"/>
    </row>
    <row r="1058" spans="16:16">
      <c r="P1058" s="162"/>
    </row>
    <row r="1059" spans="16:16">
      <c r="P1059" s="162"/>
    </row>
    <row r="1060" spans="16:16">
      <c r="P1060" s="162"/>
    </row>
    <row r="1061" spans="16:16">
      <c r="P1061" s="162"/>
    </row>
    <row r="1062" spans="16:16">
      <c r="P1062" s="162"/>
    </row>
    <row r="1063" spans="16:16">
      <c r="P1063" s="162"/>
    </row>
    <row r="1064" spans="16:16">
      <c r="P1064" s="162"/>
    </row>
    <row r="1065" spans="16:16">
      <c r="P1065" s="162"/>
    </row>
    <row r="1066" spans="16:16">
      <c r="P1066" s="162"/>
    </row>
    <row r="1067" spans="16:16">
      <c r="P1067" s="162"/>
    </row>
    <row r="1068" spans="16:16">
      <c r="P1068" s="162"/>
    </row>
    <row r="1069" spans="16:16">
      <c r="P1069" s="162"/>
    </row>
    <row r="1070" spans="16:16">
      <c r="P1070" s="162"/>
    </row>
    <row r="1071" spans="16:16">
      <c r="P1071" s="162"/>
    </row>
    <row r="1072" spans="16:16">
      <c r="P1072" s="162"/>
    </row>
    <row r="1073" spans="16:16">
      <c r="P1073" s="162"/>
    </row>
    <row r="1074" spans="16:16">
      <c r="P1074" s="162"/>
    </row>
    <row r="1075" spans="16:16">
      <c r="P1075" s="162"/>
    </row>
    <row r="1076" spans="16:16">
      <c r="P1076" s="162"/>
    </row>
    <row r="1077" spans="16:16">
      <c r="P1077" s="162"/>
    </row>
    <row r="1078" spans="16:16">
      <c r="P1078" s="162"/>
    </row>
    <row r="1079" spans="16:16">
      <c r="P1079" s="162"/>
    </row>
    <row r="1080" spans="16:16">
      <c r="P1080" s="162"/>
    </row>
    <row r="1081" spans="16:16">
      <c r="P1081" s="162"/>
    </row>
    <row r="1082" spans="16:16">
      <c r="P1082" s="162"/>
    </row>
    <row r="1083" spans="16:16">
      <c r="P1083" s="162"/>
    </row>
    <row r="1084" spans="16:16">
      <c r="P1084" s="162"/>
    </row>
    <row r="1085" spans="16:16">
      <c r="P1085" s="162"/>
    </row>
    <row r="1086" spans="16:16">
      <c r="P1086" s="162"/>
    </row>
    <row r="1087" spans="16:16">
      <c r="P1087" s="162"/>
    </row>
    <row r="1088" spans="16:16">
      <c r="P1088" s="162"/>
    </row>
    <row r="1089" spans="16:16">
      <c r="P1089" s="162"/>
    </row>
    <row r="1090" spans="16:16">
      <c r="P1090" s="162"/>
    </row>
    <row r="1091" spans="16:16">
      <c r="P1091" s="162"/>
    </row>
    <row r="1092" spans="16:16">
      <c r="P1092" s="162"/>
    </row>
    <row r="1093" spans="16:16">
      <c r="P1093" s="162"/>
    </row>
    <row r="1094" spans="16:16">
      <c r="P1094" s="162"/>
    </row>
    <row r="1095" spans="16:16">
      <c r="P1095" s="162"/>
    </row>
    <row r="1096" spans="16:16">
      <c r="P1096" s="162"/>
    </row>
    <row r="1097" spans="16:16">
      <c r="P1097" s="162"/>
    </row>
    <row r="1098" spans="16:16">
      <c r="P1098" s="162"/>
    </row>
    <row r="1099" spans="16:16">
      <c r="P1099" s="162"/>
    </row>
    <row r="1100" spans="16:16">
      <c r="P1100" s="162"/>
    </row>
    <row r="1101" spans="16:16">
      <c r="P1101" s="162"/>
    </row>
    <row r="1102" spans="16:16">
      <c r="P1102" s="162"/>
    </row>
    <row r="1103" spans="16:16">
      <c r="P1103" s="162"/>
    </row>
    <row r="1104" spans="16:16">
      <c r="P1104" s="162"/>
    </row>
    <row r="1105" spans="16:16">
      <c r="P1105" s="162"/>
    </row>
    <row r="1106" spans="16:16">
      <c r="P1106" s="162"/>
    </row>
    <row r="1107" spans="16:16">
      <c r="P1107" s="162"/>
    </row>
    <row r="1108" spans="16:16">
      <c r="P1108" s="162"/>
    </row>
    <row r="1109" spans="16:16">
      <c r="P1109" s="162"/>
    </row>
    <row r="1110" spans="16:16">
      <c r="P1110" s="162"/>
    </row>
    <row r="1111" spans="16:16">
      <c r="P1111" s="162"/>
    </row>
    <row r="1112" spans="16:16">
      <c r="P1112" s="162"/>
    </row>
    <row r="1113" spans="16:16">
      <c r="P1113" s="162"/>
    </row>
    <row r="1114" spans="16:16">
      <c r="P1114" s="162"/>
    </row>
    <row r="1115" spans="16:16">
      <c r="P1115" s="162"/>
    </row>
    <row r="1116" spans="16:16">
      <c r="P1116" s="162"/>
    </row>
    <row r="1117" spans="16:16">
      <c r="P1117" s="162"/>
    </row>
    <row r="1118" spans="16:16">
      <c r="P1118" s="162"/>
    </row>
    <row r="1119" spans="16:16">
      <c r="P1119" s="162"/>
    </row>
    <row r="1120" spans="16:16">
      <c r="P1120" s="162"/>
    </row>
    <row r="1121" spans="16:16">
      <c r="P1121" s="162"/>
    </row>
    <row r="1122" spans="16:16">
      <c r="P1122" s="162"/>
    </row>
    <row r="1123" spans="16:16">
      <c r="P1123" s="162"/>
    </row>
    <row r="1124" spans="16:16">
      <c r="P1124" s="162"/>
    </row>
    <row r="1125" spans="16:16">
      <c r="P1125" s="162"/>
    </row>
    <row r="1126" spans="16:16">
      <c r="P1126" s="162"/>
    </row>
    <row r="1127" spans="16:16">
      <c r="P1127" s="162"/>
    </row>
    <row r="1128" spans="16:16">
      <c r="P1128" s="162"/>
    </row>
    <row r="1129" spans="16:16">
      <c r="P1129" s="162"/>
    </row>
    <row r="1130" spans="16:16">
      <c r="P1130" s="162"/>
    </row>
    <row r="1131" spans="16:16">
      <c r="P1131" s="162"/>
    </row>
    <row r="1132" spans="16:16">
      <c r="P1132" s="162"/>
    </row>
    <row r="1133" spans="16:16">
      <c r="P1133" s="162"/>
    </row>
    <row r="1134" spans="16:16">
      <c r="P1134" s="162"/>
    </row>
    <row r="1135" spans="16:16">
      <c r="P1135" s="162"/>
    </row>
    <row r="1136" spans="16:16">
      <c r="P1136" s="162"/>
    </row>
    <row r="1137" spans="16:16">
      <c r="P1137" s="162"/>
    </row>
    <row r="1138" spans="16:16">
      <c r="P1138" s="162"/>
    </row>
    <row r="1139" spans="16:16">
      <c r="P1139" s="162"/>
    </row>
    <row r="1140" spans="16:16">
      <c r="P1140" s="162"/>
    </row>
    <row r="1141" spans="16:16">
      <c r="P1141" s="162"/>
    </row>
    <row r="1142" spans="16:16">
      <c r="P1142" s="162"/>
    </row>
    <row r="1143" spans="16:16">
      <c r="P1143" s="162"/>
    </row>
    <row r="1144" spans="16:16">
      <c r="P1144" s="162"/>
    </row>
    <row r="1145" spans="16:16">
      <c r="P1145" s="162"/>
    </row>
    <row r="1146" spans="16:16">
      <c r="P1146" s="162"/>
    </row>
    <row r="1147" spans="16:16">
      <c r="P1147" s="162"/>
    </row>
    <row r="1148" spans="16:16">
      <c r="P1148" s="162"/>
    </row>
    <row r="1149" spans="16:16">
      <c r="P1149" s="162"/>
    </row>
    <row r="1150" spans="16:16">
      <c r="P1150" s="162"/>
    </row>
    <row r="1151" spans="16:16">
      <c r="P1151" s="162"/>
    </row>
    <row r="1152" spans="16:16">
      <c r="P1152" s="162"/>
    </row>
    <row r="1153" spans="16:16">
      <c r="P1153" s="162"/>
    </row>
    <row r="1154" spans="16:16">
      <c r="P1154" s="162"/>
    </row>
    <row r="1155" spans="16:16">
      <c r="P1155" s="162"/>
    </row>
    <row r="1156" spans="16:16">
      <c r="P1156" s="162"/>
    </row>
    <row r="1157" spans="16:16">
      <c r="P1157" s="162"/>
    </row>
    <row r="1158" spans="16:16">
      <c r="P1158" s="162"/>
    </row>
    <row r="1159" spans="16:16">
      <c r="P1159" s="162"/>
    </row>
    <row r="1160" spans="16:16">
      <c r="P1160" s="162"/>
    </row>
    <row r="1161" spans="16:16">
      <c r="P1161" s="162"/>
    </row>
    <row r="1162" spans="16:16">
      <c r="P1162" s="162"/>
    </row>
    <row r="1163" spans="16:16">
      <c r="P1163" s="162"/>
    </row>
    <row r="1164" spans="16:16">
      <c r="P1164" s="162"/>
    </row>
    <row r="1165" spans="16:16">
      <c r="P1165" s="162"/>
    </row>
    <row r="1166" spans="16:16">
      <c r="P1166" s="162"/>
    </row>
    <row r="1167" spans="16:16">
      <c r="P1167" s="162"/>
    </row>
    <row r="1168" spans="16:16">
      <c r="P1168" s="162"/>
    </row>
    <row r="1169" spans="16:16">
      <c r="P1169" s="162"/>
    </row>
    <row r="1170" spans="16:16">
      <c r="P1170" s="162"/>
    </row>
    <row r="1171" spans="16:16">
      <c r="P1171" s="162"/>
    </row>
    <row r="1172" spans="16:16">
      <c r="P1172" s="162"/>
    </row>
    <row r="1173" spans="16:16">
      <c r="P1173" s="162"/>
    </row>
    <row r="1174" spans="16:16">
      <c r="P1174" s="162"/>
    </row>
    <row r="1175" spans="16:16">
      <c r="P1175" s="162"/>
    </row>
    <row r="1176" spans="16:16">
      <c r="P1176" s="162"/>
    </row>
    <row r="1177" spans="16:16">
      <c r="P1177" s="162"/>
    </row>
    <row r="1178" spans="16:16">
      <c r="P1178" s="162"/>
    </row>
    <row r="1179" spans="16:16">
      <c r="P1179" s="162"/>
    </row>
    <row r="1180" spans="16:16">
      <c r="P1180" s="162"/>
    </row>
    <row r="1181" spans="16:16">
      <c r="P1181" s="162"/>
    </row>
    <row r="1182" spans="16:16">
      <c r="P1182" s="162"/>
    </row>
    <row r="1183" spans="16:16">
      <c r="P1183" s="162"/>
    </row>
    <row r="1184" spans="16:16">
      <c r="P1184" s="162"/>
    </row>
    <row r="1185" spans="16:16">
      <c r="P1185" s="162"/>
    </row>
    <row r="1186" spans="16:16">
      <c r="P1186" s="162"/>
    </row>
    <row r="1187" spans="16:16">
      <c r="P1187" s="162"/>
    </row>
    <row r="1188" spans="16:16">
      <c r="P1188" s="162"/>
    </row>
    <row r="1189" spans="16:16">
      <c r="P1189" s="162"/>
    </row>
    <row r="1190" spans="16:16">
      <c r="P1190" s="162"/>
    </row>
    <row r="1191" spans="16:16">
      <c r="P1191" s="162"/>
    </row>
    <row r="1192" spans="16:16">
      <c r="P1192" s="162"/>
    </row>
    <row r="1193" spans="16:16">
      <c r="P1193" s="162"/>
    </row>
    <row r="1194" spans="16:16">
      <c r="P1194" s="162"/>
    </row>
    <row r="1195" spans="16:16">
      <c r="P1195" s="162"/>
    </row>
    <row r="1196" spans="16:16">
      <c r="P1196" s="162"/>
    </row>
    <row r="1197" spans="16:16">
      <c r="P1197" s="162"/>
    </row>
    <row r="1198" spans="16:16">
      <c r="P1198" s="162"/>
    </row>
    <row r="1199" spans="16:16">
      <c r="P1199" s="162"/>
    </row>
    <row r="1200" spans="16:16">
      <c r="P1200" s="162"/>
    </row>
    <row r="1201" spans="16:16">
      <c r="P1201" s="162"/>
    </row>
    <row r="1202" spans="16:16">
      <c r="P1202" s="162"/>
    </row>
    <row r="1203" spans="16:16">
      <c r="P1203" s="162"/>
    </row>
    <row r="1204" spans="16:16">
      <c r="P1204" s="162"/>
    </row>
    <row r="1205" spans="16:16">
      <c r="P1205" s="162"/>
    </row>
    <row r="1206" spans="16:16">
      <c r="P1206" s="162"/>
    </row>
    <row r="1207" spans="16:16">
      <c r="P1207" s="162"/>
    </row>
    <row r="1208" spans="16:16">
      <c r="P1208" s="162"/>
    </row>
    <row r="1209" spans="16:16">
      <c r="P1209" s="162"/>
    </row>
    <row r="1210" spans="16:16">
      <c r="P1210" s="162"/>
    </row>
    <row r="1211" spans="16:16">
      <c r="P1211" s="162"/>
    </row>
    <row r="1212" spans="16:16">
      <c r="P1212" s="162"/>
    </row>
    <row r="1213" spans="16:16">
      <c r="P1213" s="162"/>
    </row>
    <row r="1214" spans="16:16">
      <c r="P1214" s="162"/>
    </row>
    <row r="1215" spans="16:16">
      <c r="P1215" s="162"/>
    </row>
    <row r="1216" spans="16:16">
      <c r="P1216" s="162"/>
    </row>
    <row r="1217" spans="16:16">
      <c r="P1217" s="162"/>
    </row>
    <row r="1218" spans="16:16">
      <c r="P1218" s="162"/>
    </row>
    <row r="1219" spans="16:16">
      <c r="P1219" s="162"/>
    </row>
    <row r="1220" spans="16:16">
      <c r="P1220" s="162"/>
    </row>
    <row r="1221" spans="16:16">
      <c r="P1221" s="162"/>
    </row>
    <row r="1222" spans="16:16">
      <c r="P1222" s="162"/>
    </row>
    <row r="1223" spans="16:16">
      <c r="P1223" s="162"/>
    </row>
    <row r="1224" spans="16:16">
      <c r="P1224" s="162"/>
    </row>
    <row r="1225" spans="16:16">
      <c r="P1225" s="162"/>
    </row>
    <row r="1226" spans="16:16">
      <c r="P1226" s="162"/>
    </row>
    <row r="1227" spans="16:16">
      <c r="P1227" s="162"/>
    </row>
    <row r="1228" spans="16:16">
      <c r="P1228" s="162"/>
    </row>
    <row r="1229" spans="16:16">
      <c r="P1229" s="162"/>
    </row>
    <row r="1230" spans="16:16">
      <c r="P1230" s="162"/>
    </row>
    <row r="1231" spans="16:16">
      <c r="P1231" s="162"/>
    </row>
    <row r="1232" spans="16:16">
      <c r="P1232" s="162"/>
    </row>
    <row r="1233" spans="16:16">
      <c r="P1233" s="162"/>
    </row>
    <row r="1234" spans="16:16">
      <c r="P1234" s="162"/>
    </row>
    <row r="1235" spans="16:16">
      <c r="P1235" s="162"/>
    </row>
    <row r="1236" spans="16:16">
      <c r="P1236" s="162"/>
    </row>
    <row r="1237" spans="16:16">
      <c r="P1237" s="162"/>
    </row>
    <row r="1238" spans="16:16">
      <c r="P1238" s="162"/>
    </row>
    <row r="1239" spans="16:16">
      <c r="P1239" s="162"/>
    </row>
    <row r="1240" spans="16:16">
      <c r="P1240" s="162"/>
    </row>
    <row r="1241" spans="16:16">
      <c r="P1241" s="162"/>
    </row>
    <row r="1242" spans="16:16">
      <c r="P1242" s="162"/>
    </row>
    <row r="1243" spans="16:16">
      <c r="P1243" s="162"/>
    </row>
    <row r="1244" spans="16:16">
      <c r="P1244" s="162"/>
    </row>
    <row r="1245" spans="16:16">
      <c r="P1245" s="162"/>
    </row>
    <row r="1246" spans="16:16">
      <c r="P1246" s="162"/>
    </row>
    <row r="1247" spans="16:16">
      <c r="P1247" s="162"/>
    </row>
    <row r="1248" spans="16:16">
      <c r="P1248" s="162"/>
    </row>
    <row r="1249" spans="16:16">
      <c r="P1249" s="162"/>
    </row>
    <row r="1250" spans="16:16">
      <c r="P1250" s="162"/>
    </row>
    <row r="1251" spans="16:16">
      <c r="P1251" s="162"/>
    </row>
    <row r="1252" spans="16:16">
      <c r="P1252" s="162"/>
    </row>
    <row r="1253" spans="16:16">
      <c r="P1253" s="162"/>
    </row>
    <row r="1254" spans="16:16">
      <c r="P1254" s="162"/>
    </row>
    <row r="1255" spans="16:16">
      <c r="P1255" s="162"/>
    </row>
    <row r="1256" spans="16:16">
      <c r="P1256" s="162"/>
    </row>
    <row r="1257" spans="16:16">
      <c r="P1257" s="162"/>
    </row>
    <row r="1258" spans="16:16">
      <c r="P1258" s="162"/>
    </row>
    <row r="1259" spans="16:16">
      <c r="P1259" s="162"/>
    </row>
    <row r="1260" spans="16:16">
      <c r="P1260" s="162"/>
    </row>
    <row r="1261" spans="16:16">
      <c r="P1261" s="162"/>
    </row>
    <row r="1262" spans="16:16">
      <c r="P1262" s="162"/>
    </row>
    <row r="1263" spans="16:16">
      <c r="P1263" s="162"/>
    </row>
    <row r="1264" spans="16:16">
      <c r="P1264" s="162"/>
    </row>
    <row r="1265" spans="16:16">
      <c r="P1265" s="162"/>
    </row>
    <row r="1266" spans="16:16">
      <c r="P1266" s="162"/>
    </row>
    <row r="1267" spans="16:16">
      <c r="P1267" s="162"/>
    </row>
    <row r="1268" spans="16:16">
      <c r="P1268" s="162"/>
    </row>
    <row r="1269" spans="16:16">
      <c r="P1269" s="162"/>
    </row>
    <row r="1270" spans="16:16">
      <c r="P1270" s="162"/>
    </row>
    <row r="1271" spans="16:16">
      <c r="P1271" s="162"/>
    </row>
    <row r="1272" spans="16:16">
      <c r="P1272" s="162"/>
    </row>
    <row r="1273" spans="16:16">
      <c r="P1273" s="162"/>
    </row>
    <row r="1274" spans="16:16">
      <c r="P1274" s="162"/>
    </row>
    <row r="1275" spans="16:16">
      <c r="P1275" s="162"/>
    </row>
    <row r="1276" spans="16:16">
      <c r="P1276" s="162"/>
    </row>
    <row r="1277" spans="16:16">
      <c r="P1277" s="162"/>
    </row>
    <row r="1278" spans="16:16">
      <c r="P1278" s="162"/>
    </row>
    <row r="1279" spans="16:16">
      <c r="P1279" s="162"/>
    </row>
    <row r="1280" spans="16:16">
      <c r="P1280" s="162"/>
    </row>
    <row r="1281" spans="16:16">
      <c r="P1281" s="162"/>
    </row>
    <row r="1282" spans="16:16">
      <c r="P1282" s="162"/>
    </row>
    <row r="1283" spans="16:16">
      <c r="P1283" s="162"/>
    </row>
    <row r="1284" spans="16:16">
      <c r="P1284" s="162"/>
    </row>
    <row r="1285" spans="16:16">
      <c r="P1285" s="162"/>
    </row>
    <row r="1286" spans="16:16">
      <c r="P1286" s="162"/>
    </row>
    <row r="1287" spans="16:16">
      <c r="P1287" s="162"/>
    </row>
    <row r="1288" spans="16:16">
      <c r="P1288" s="162"/>
    </row>
    <row r="1289" spans="16:16">
      <c r="P1289" s="162"/>
    </row>
    <row r="1290" spans="16:16">
      <c r="P1290" s="162"/>
    </row>
    <row r="1291" spans="16:16">
      <c r="P1291" s="162"/>
    </row>
    <row r="1292" spans="16:16">
      <c r="P1292" s="162"/>
    </row>
    <row r="1293" spans="16:16">
      <c r="P1293" s="162"/>
    </row>
    <row r="1294" spans="16:16">
      <c r="P1294" s="162"/>
    </row>
    <row r="1295" spans="16:16">
      <c r="P1295" s="162"/>
    </row>
    <row r="1296" spans="16:16">
      <c r="P1296" s="162"/>
    </row>
    <row r="1297" spans="16:16">
      <c r="P1297" s="162"/>
    </row>
    <row r="1298" spans="16:16">
      <c r="P1298" s="162"/>
    </row>
    <row r="1299" spans="16:16">
      <c r="P1299" s="162"/>
    </row>
    <row r="1300" spans="16:16">
      <c r="P1300" s="162"/>
    </row>
    <row r="1301" spans="16:16">
      <c r="P1301" s="162"/>
    </row>
    <row r="1302" spans="16:16">
      <c r="P1302" s="162"/>
    </row>
    <row r="1303" spans="16:16">
      <c r="P1303" s="162"/>
    </row>
    <row r="1304" spans="16:16">
      <c r="P1304" s="162"/>
    </row>
    <row r="1305" spans="16:16">
      <c r="P1305" s="162"/>
    </row>
    <row r="1306" spans="16:16">
      <c r="P1306" s="162"/>
    </row>
  </sheetData>
  <sheetProtection algorithmName="SHA-512" hashValue="AVRVfw+iZZH0rda30i65iFlUn1L0SFXicdJrFfoAXVQML4LBDkij/0Orb9cqiZFUbTZm8hvWOXp66wL1rh6k6g==" saltValue="sSSzJ9wPLcgcW1+BFzlRHA==" spinCount="100000" sheet="1" objects="1" scenarios="1" selectLockedCells="1" selectUnlockedCells="1"/>
  <autoFilter ref="A4:AC466" xr:uid="{00000000-0001-0000-0100-000000000000}"/>
  <phoneticPr fontId="27" type="noConversion"/>
  <conditionalFormatting sqref="A229:A231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A232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233:A238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239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240:A242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24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" right="0.39370078740157483" top="0.74803149606299213" bottom="0.74803149606299213" header="0.31496062992125984" footer="0.31496062992125984"/>
  <pageSetup scale="2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7"/>
  <sheetViews>
    <sheetView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2" sqref="G2"/>
    </sheetView>
  </sheetViews>
  <sheetFormatPr baseColWidth="10" defaultColWidth="11.42578125" defaultRowHeight="12.75"/>
  <cols>
    <col min="1" max="1" width="11.5703125" style="9" customWidth="1"/>
    <col min="2" max="2" width="8" style="9" customWidth="1"/>
    <col min="3" max="4" width="6.140625" style="9" customWidth="1"/>
    <col min="5" max="5" width="13.85546875" style="9" customWidth="1"/>
    <col min="6" max="6" width="50.28515625" style="9" customWidth="1"/>
    <col min="7" max="7" width="18.5703125" style="9" customWidth="1"/>
    <col min="8" max="9" width="11.42578125" style="9" customWidth="1"/>
    <col min="10" max="10" width="16.42578125" style="9" customWidth="1"/>
    <col min="11" max="12" width="14.28515625" style="9" customWidth="1"/>
    <col min="13" max="13" width="15.5703125" style="9" customWidth="1"/>
    <col min="14" max="15" width="14.28515625" style="9" customWidth="1"/>
    <col min="16" max="16" width="15" style="9" customWidth="1"/>
    <col min="17" max="19" width="14.28515625" style="9" customWidth="1"/>
    <col min="20" max="21" width="14.28515625" style="9" bestFit="1" customWidth="1"/>
    <col min="22" max="16384" width="11.42578125" style="9"/>
  </cols>
  <sheetData>
    <row r="1" spans="1:21" ht="15.75">
      <c r="A1" s="115" t="s">
        <v>843</v>
      </c>
      <c r="I1" s="127">
        <f>SUBTOTAL(9,I3:I34)</f>
        <v>0</v>
      </c>
      <c r="J1" s="127">
        <f t="shared" ref="J1:S1" si="0">SUBTOTAL(9,J3:J34)</f>
        <v>237676.89499999999</v>
      </c>
      <c r="K1" s="127">
        <f t="shared" si="0"/>
        <v>338906.56400000001</v>
      </c>
      <c r="L1" s="127">
        <f t="shared" si="0"/>
        <v>214012.78900000002</v>
      </c>
      <c r="M1" s="127">
        <f t="shared" si="0"/>
        <v>133822.717</v>
      </c>
      <c r="N1" s="127">
        <f t="shared" si="0"/>
        <v>217720.82</v>
      </c>
      <c r="O1" s="127">
        <f t="shared" si="0"/>
        <v>293017.85699999996</v>
      </c>
      <c r="P1" s="127">
        <f t="shared" si="0"/>
        <v>169796.568</v>
      </c>
      <c r="Q1" s="127">
        <f t="shared" si="0"/>
        <v>58261.125</v>
      </c>
      <c r="R1" s="127">
        <f t="shared" si="0"/>
        <v>126259.727</v>
      </c>
      <c r="S1" s="127">
        <f t="shared" si="0"/>
        <v>0</v>
      </c>
      <c r="T1" s="127">
        <f>SUBTOTAL(9,T3:T34)</f>
        <v>0</v>
      </c>
      <c r="U1" s="127">
        <f>SUBTOTAL(9,U3:U34)</f>
        <v>1789475.0619999999</v>
      </c>
    </row>
    <row r="2" spans="1:21" ht="38.25">
      <c r="A2" s="128" t="s">
        <v>844</v>
      </c>
      <c r="B2" s="129" t="s">
        <v>137</v>
      </c>
      <c r="C2" s="129" t="s">
        <v>4</v>
      </c>
      <c r="D2" s="129" t="s">
        <v>139</v>
      </c>
      <c r="E2" s="130" t="s">
        <v>140</v>
      </c>
      <c r="F2" s="130" t="s">
        <v>141</v>
      </c>
      <c r="G2" s="130" t="s">
        <v>79</v>
      </c>
      <c r="H2" s="129" t="s">
        <v>144</v>
      </c>
      <c r="I2" s="131">
        <v>45292</v>
      </c>
      <c r="J2" s="131">
        <v>45323</v>
      </c>
      <c r="K2" s="131">
        <v>45352</v>
      </c>
      <c r="L2" s="131">
        <v>45383</v>
      </c>
      <c r="M2" s="131">
        <v>45413</v>
      </c>
      <c r="N2" s="131">
        <v>45444</v>
      </c>
      <c r="O2" s="131">
        <v>45474</v>
      </c>
      <c r="P2" s="131">
        <v>45505</v>
      </c>
      <c r="Q2" s="131">
        <v>45536</v>
      </c>
      <c r="R2" s="131">
        <v>45566</v>
      </c>
      <c r="S2" s="131">
        <v>45597</v>
      </c>
      <c r="T2" s="131">
        <v>45627</v>
      </c>
      <c r="U2" s="132" t="s">
        <v>845</v>
      </c>
    </row>
    <row r="3" spans="1:21" ht="25.5">
      <c r="A3" s="255">
        <v>40009018</v>
      </c>
      <c r="B3" s="11">
        <v>33</v>
      </c>
      <c r="C3" s="12" t="s">
        <v>26</v>
      </c>
      <c r="D3" s="11">
        <v>125</v>
      </c>
      <c r="E3" s="13" t="s">
        <v>161</v>
      </c>
      <c r="F3" s="13" t="s">
        <v>846</v>
      </c>
      <c r="G3" s="13" t="s">
        <v>86</v>
      </c>
      <c r="H3" s="264">
        <v>87467.254000000001</v>
      </c>
      <c r="I3" s="14"/>
      <c r="J3" s="169">
        <v>10315.569</v>
      </c>
      <c r="K3" s="14"/>
      <c r="L3" s="14"/>
      <c r="M3" s="14">
        <v>9107.0290000000005</v>
      </c>
      <c r="N3" s="14"/>
      <c r="O3" s="14"/>
      <c r="P3" s="169"/>
      <c r="Q3" s="14"/>
      <c r="R3" s="14"/>
      <c r="S3" s="191"/>
      <c r="T3" s="14"/>
      <c r="U3" s="14">
        <f t="shared" ref="U3" si="1">SUM(I3:T3)</f>
        <v>19422.597999999998</v>
      </c>
    </row>
    <row r="4" spans="1:21">
      <c r="A4" s="255">
        <v>40042650</v>
      </c>
      <c r="B4" s="11">
        <v>33</v>
      </c>
      <c r="C4" s="12" t="s">
        <v>26</v>
      </c>
      <c r="D4" s="11">
        <v>125</v>
      </c>
      <c r="E4" s="13" t="s">
        <v>161</v>
      </c>
      <c r="F4" s="13" t="s">
        <v>847</v>
      </c>
      <c r="G4" s="13" t="s">
        <v>94</v>
      </c>
      <c r="H4" s="265">
        <v>114856.673</v>
      </c>
      <c r="I4" s="14"/>
      <c r="J4" s="169"/>
      <c r="K4" s="14"/>
      <c r="L4" s="14"/>
      <c r="M4" s="14"/>
      <c r="N4" s="14"/>
      <c r="O4" s="14"/>
      <c r="P4" s="169"/>
      <c r="Q4" s="14"/>
      <c r="R4" s="14"/>
      <c r="S4" s="282"/>
      <c r="T4" s="14"/>
      <c r="U4" s="14">
        <f t="shared" ref="U4:U9" si="2">SUM(I4:T4)</f>
        <v>0</v>
      </c>
    </row>
    <row r="5" spans="1:21" ht="25.5">
      <c r="A5" s="255">
        <v>40024712</v>
      </c>
      <c r="B5" s="11">
        <v>33</v>
      </c>
      <c r="C5" s="12" t="s">
        <v>26</v>
      </c>
      <c r="D5" s="11">
        <v>125</v>
      </c>
      <c r="E5" s="13" t="s">
        <v>161</v>
      </c>
      <c r="F5" s="13" t="s">
        <v>848</v>
      </c>
      <c r="G5" s="13" t="s">
        <v>90</v>
      </c>
      <c r="H5" s="265">
        <v>25000</v>
      </c>
      <c r="I5" s="14"/>
      <c r="J5" s="169"/>
      <c r="K5" s="14"/>
      <c r="L5" s="14"/>
      <c r="M5" s="14"/>
      <c r="N5" s="14">
        <v>3969.9989999999998</v>
      </c>
      <c r="O5" s="14"/>
      <c r="P5" s="169"/>
      <c r="Q5" s="14"/>
      <c r="R5" s="14"/>
      <c r="S5" s="191"/>
      <c r="T5" s="14"/>
      <c r="U5" s="14">
        <f t="shared" si="2"/>
        <v>3969.9989999999998</v>
      </c>
    </row>
    <row r="6" spans="1:21" ht="25.5">
      <c r="A6" s="255">
        <v>40040377</v>
      </c>
      <c r="B6" s="11">
        <v>33</v>
      </c>
      <c r="C6" s="12" t="s">
        <v>26</v>
      </c>
      <c r="D6" s="11">
        <v>125</v>
      </c>
      <c r="E6" s="13" t="s">
        <v>161</v>
      </c>
      <c r="F6" s="13" t="s">
        <v>849</v>
      </c>
      <c r="G6" s="13" t="s">
        <v>91</v>
      </c>
      <c r="H6" s="265">
        <v>100000</v>
      </c>
      <c r="I6" s="14"/>
      <c r="J6" s="169"/>
      <c r="K6" s="14"/>
      <c r="L6" s="14"/>
      <c r="M6" s="14"/>
      <c r="N6" s="14"/>
      <c r="O6" s="14"/>
      <c r="P6" s="169"/>
      <c r="Q6" s="14"/>
      <c r="R6" s="14"/>
      <c r="S6" s="191"/>
      <c r="T6" s="14"/>
      <c r="U6" s="14">
        <f t="shared" si="2"/>
        <v>0</v>
      </c>
    </row>
    <row r="7" spans="1:21" ht="25.5">
      <c r="A7" s="255">
        <v>40040384</v>
      </c>
      <c r="B7" s="11">
        <v>33</v>
      </c>
      <c r="C7" s="12" t="s">
        <v>26</v>
      </c>
      <c r="D7" s="11">
        <v>125</v>
      </c>
      <c r="E7" s="13" t="s">
        <v>161</v>
      </c>
      <c r="F7" s="13" t="s">
        <v>850</v>
      </c>
      <c r="G7" s="13" t="s">
        <v>91</v>
      </c>
      <c r="H7" s="265">
        <v>73744</v>
      </c>
      <c r="I7" s="14"/>
      <c r="J7" s="169"/>
      <c r="K7" s="14"/>
      <c r="L7" s="14"/>
      <c r="M7" s="14"/>
      <c r="N7" s="14"/>
      <c r="O7" s="14"/>
      <c r="P7" s="169"/>
      <c r="Q7" s="14"/>
      <c r="R7" s="14"/>
      <c r="S7" s="191"/>
      <c r="T7" s="14"/>
      <c r="U7" s="14">
        <f t="shared" si="2"/>
        <v>0</v>
      </c>
    </row>
    <row r="8" spans="1:21" ht="20.25" customHeight="1">
      <c r="A8" s="255">
        <v>40046413</v>
      </c>
      <c r="B8" s="11">
        <v>33</v>
      </c>
      <c r="C8" s="12" t="s">
        <v>26</v>
      </c>
      <c r="D8" s="11">
        <v>125</v>
      </c>
      <c r="E8" s="13" t="s">
        <v>161</v>
      </c>
      <c r="F8" s="13" t="s">
        <v>851</v>
      </c>
      <c r="G8" s="13" t="s">
        <v>86</v>
      </c>
      <c r="H8" s="265">
        <v>135998.04500000001</v>
      </c>
      <c r="I8" s="14"/>
      <c r="J8" s="169"/>
      <c r="K8" s="14"/>
      <c r="L8" s="14"/>
      <c r="M8" s="14">
        <v>14877.536</v>
      </c>
      <c r="N8" s="14"/>
      <c r="O8" s="14"/>
      <c r="P8" s="169"/>
      <c r="Q8" s="14">
        <v>13160.145</v>
      </c>
      <c r="R8" s="14"/>
      <c r="S8" s="191"/>
      <c r="T8" s="14"/>
      <c r="U8" s="14">
        <f t="shared" si="2"/>
        <v>28037.681</v>
      </c>
    </row>
    <row r="9" spans="1:21" ht="20.25" customHeight="1">
      <c r="A9" s="255">
        <v>40046267</v>
      </c>
      <c r="B9" s="11">
        <v>33</v>
      </c>
      <c r="C9" s="12" t="s">
        <v>26</v>
      </c>
      <c r="D9" s="11">
        <v>125</v>
      </c>
      <c r="E9" s="13" t="s">
        <v>161</v>
      </c>
      <c r="F9" s="13" t="s">
        <v>852</v>
      </c>
      <c r="G9" s="13" t="s">
        <v>86</v>
      </c>
      <c r="H9" s="265">
        <v>96999.875</v>
      </c>
      <c r="I9" s="14"/>
      <c r="J9" s="169">
        <v>11869.415999999999</v>
      </c>
      <c r="K9" s="14">
        <v>7054.4449999999997</v>
      </c>
      <c r="L9" s="14"/>
      <c r="M9" s="14">
        <v>5405.3860000000004</v>
      </c>
      <c r="N9" s="14">
        <v>4741.5969999999998</v>
      </c>
      <c r="O9" s="14"/>
      <c r="P9" s="169">
        <v>12257.302</v>
      </c>
      <c r="Q9" s="14"/>
      <c r="R9" s="14"/>
      <c r="S9" s="282"/>
      <c r="T9" s="14"/>
      <c r="U9" s="14">
        <f t="shared" si="2"/>
        <v>41328.145999999993</v>
      </c>
    </row>
    <row r="10" spans="1:21" ht="25.5">
      <c r="A10" s="255">
        <v>40024263</v>
      </c>
      <c r="B10" s="11">
        <v>33</v>
      </c>
      <c r="C10" s="12" t="s">
        <v>26</v>
      </c>
      <c r="D10" s="11">
        <v>125</v>
      </c>
      <c r="E10" s="13" t="s">
        <v>161</v>
      </c>
      <c r="F10" s="13" t="s">
        <v>853</v>
      </c>
      <c r="G10" s="13" t="s">
        <v>90</v>
      </c>
      <c r="H10" s="265">
        <v>46750</v>
      </c>
      <c r="I10" s="14"/>
      <c r="J10" s="169">
        <v>12004.380999999999</v>
      </c>
      <c r="K10" s="14"/>
      <c r="L10" s="14"/>
      <c r="M10" s="14"/>
      <c r="N10" s="14"/>
      <c r="O10" s="14"/>
      <c r="P10" s="169">
        <v>1676.26</v>
      </c>
      <c r="Q10" s="14"/>
      <c r="R10" s="14"/>
      <c r="S10" s="191"/>
      <c r="T10" s="14"/>
      <c r="U10" s="14">
        <f t="shared" ref="U10:U12" si="3">SUM(I10:T10)</f>
        <v>13680.641</v>
      </c>
    </row>
    <row r="11" spans="1:21">
      <c r="A11" s="255">
        <v>40046661</v>
      </c>
      <c r="B11" s="11">
        <v>33</v>
      </c>
      <c r="C11" s="12" t="s">
        <v>26</v>
      </c>
      <c r="D11" s="11">
        <v>125</v>
      </c>
      <c r="E11" s="13" t="s">
        <v>161</v>
      </c>
      <c r="F11" s="13" t="s">
        <v>854</v>
      </c>
      <c r="G11" s="13" t="s">
        <v>97</v>
      </c>
      <c r="H11" s="265">
        <v>78618</v>
      </c>
      <c r="I11" s="14"/>
      <c r="J11" s="169">
        <v>9409.4779999999992</v>
      </c>
      <c r="K11" s="14"/>
      <c r="L11" s="14"/>
      <c r="M11" s="14"/>
      <c r="N11" s="14"/>
      <c r="O11" s="14"/>
      <c r="P11" s="169"/>
      <c r="Q11" s="14"/>
      <c r="R11" s="14"/>
      <c r="S11" s="282"/>
      <c r="T11" s="14"/>
      <c r="U11" s="14">
        <f t="shared" si="3"/>
        <v>9409.4779999999992</v>
      </c>
    </row>
    <row r="12" spans="1:21" ht="25.5">
      <c r="A12" s="255">
        <v>40024485</v>
      </c>
      <c r="B12" s="11">
        <v>33</v>
      </c>
      <c r="C12" s="12" t="s">
        <v>26</v>
      </c>
      <c r="D12" s="11">
        <v>125</v>
      </c>
      <c r="E12" s="13" t="s">
        <v>161</v>
      </c>
      <c r="F12" s="13" t="s">
        <v>855</v>
      </c>
      <c r="G12" s="13" t="s">
        <v>82</v>
      </c>
      <c r="H12" s="265">
        <v>70520</v>
      </c>
      <c r="I12" s="14"/>
      <c r="J12" s="169">
        <v>6364.9390000000003</v>
      </c>
      <c r="K12" s="14">
        <v>6432.6940000000004</v>
      </c>
      <c r="L12" s="14"/>
      <c r="M12" s="14"/>
      <c r="N12" s="14">
        <v>12830.744000000001</v>
      </c>
      <c r="O12" s="14"/>
      <c r="P12" s="169"/>
      <c r="Q12" s="14">
        <v>7066.0569999999998</v>
      </c>
      <c r="R12" s="14"/>
      <c r="S12" s="191"/>
      <c r="T12" s="14"/>
      <c r="U12" s="14">
        <f t="shared" si="3"/>
        <v>32694.434000000001</v>
      </c>
    </row>
    <row r="13" spans="1:21" ht="25.5">
      <c r="A13" s="255">
        <v>40008920</v>
      </c>
      <c r="B13" s="11">
        <v>33</v>
      </c>
      <c r="C13" s="12" t="s">
        <v>26</v>
      </c>
      <c r="D13" s="11">
        <v>125</v>
      </c>
      <c r="E13" s="13" t="s">
        <v>161</v>
      </c>
      <c r="F13" s="13" t="s">
        <v>856</v>
      </c>
      <c r="G13" s="13" t="s">
        <v>82</v>
      </c>
      <c r="H13" s="265">
        <v>94038</v>
      </c>
      <c r="I13" s="14"/>
      <c r="J13" s="169">
        <v>7184.38</v>
      </c>
      <c r="K13" s="14"/>
      <c r="L13" s="14">
        <v>14838.298000000001</v>
      </c>
      <c r="M13" s="14"/>
      <c r="N13" s="14">
        <v>9505.6890000000003</v>
      </c>
      <c r="O13" s="14">
        <v>12103.376</v>
      </c>
      <c r="P13" s="169">
        <v>7736.8</v>
      </c>
      <c r="Q13" s="14">
        <v>11304.272000000001</v>
      </c>
      <c r="R13" s="14"/>
      <c r="S13" s="191"/>
      <c r="T13" s="14"/>
      <c r="U13" s="14">
        <f t="shared" ref="U13:U23" si="4">SUM(I13:T13)</f>
        <v>62672.815000000002</v>
      </c>
    </row>
    <row r="14" spans="1:21" ht="25.5">
      <c r="A14" s="255">
        <v>40024229</v>
      </c>
      <c r="B14" s="11">
        <v>33</v>
      </c>
      <c r="C14" s="12" t="s">
        <v>26</v>
      </c>
      <c r="D14" s="11">
        <v>125</v>
      </c>
      <c r="E14" s="13" t="s">
        <v>161</v>
      </c>
      <c r="F14" s="13" t="s">
        <v>857</v>
      </c>
      <c r="G14" s="13" t="s">
        <v>90</v>
      </c>
      <c r="H14" s="265">
        <v>47797</v>
      </c>
      <c r="I14" s="14"/>
      <c r="J14" s="169"/>
      <c r="K14" s="14"/>
      <c r="L14" s="14"/>
      <c r="M14" s="14"/>
      <c r="N14" s="14">
        <v>10854.328</v>
      </c>
      <c r="O14" s="14"/>
      <c r="P14" s="169"/>
      <c r="Q14" s="14"/>
      <c r="R14" s="14"/>
      <c r="S14" s="191"/>
      <c r="T14" s="14"/>
      <c r="U14" s="14">
        <f t="shared" si="4"/>
        <v>10854.328</v>
      </c>
    </row>
    <row r="15" spans="1:21" ht="25.5">
      <c r="A15" s="255">
        <v>40024780</v>
      </c>
      <c r="B15" s="11">
        <v>33</v>
      </c>
      <c r="C15" s="12" t="s">
        <v>26</v>
      </c>
      <c r="D15" s="11">
        <v>125</v>
      </c>
      <c r="E15" s="13" t="s">
        <v>161</v>
      </c>
      <c r="F15" s="13" t="s">
        <v>858</v>
      </c>
      <c r="G15" s="13" t="s">
        <v>93</v>
      </c>
      <c r="H15" s="265">
        <v>99346</v>
      </c>
      <c r="I15" s="14"/>
      <c r="J15" s="169"/>
      <c r="K15" s="14"/>
      <c r="L15" s="14">
        <v>34643.875</v>
      </c>
      <c r="M15" s="14"/>
      <c r="N15" s="14"/>
      <c r="O15" s="14"/>
      <c r="P15" s="169">
        <v>21737.361000000001</v>
      </c>
      <c r="Q15" s="14"/>
      <c r="R15" s="14"/>
      <c r="S15" s="191"/>
      <c r="T15" s="14"/>
      <c r="U15" s="14">
        <f t="shared" si="4"/>
        <v>56381.236000000004</v>
      </c>
    </row>
    <row r="16" spans="1:21" ht="25.5">
      <c r="A16" s="255">
        <v>40045412</v>
      </c>
      <c r="B16" s="11">
        <v>33</v>
      </c>
      <c r="C16" s="12" t="s">
        <v>26</v>
      </c>
      <c r="D16" s="11">
        <v>125</v>
      </c>
      <c r="E16" s="13" t="s">
        <v>161</v>
      </c>
      <c r="F16" s="13" t="s">
        <v>859</v>
      </c>
      <c r="G16" s="13" t="s">
        <v>84</v>
      </c>
      <c r="H16" s="265">
        <v>99044</v>
      </c>
      <c r="I16" s="14"/>
      <c r="J16" s="169">
        <v>14363.455</v>
      </c>
      <c r="K16" s="14">
        <v>43430.220999999998</v>
      </c>
      <c r="L16" s="14"/>
      <c r="M16" s="14"/>
      <c r="N16" s="14"/>
      <c r="O16" s="14"/>
      <c r="P16" s="169">
        <v>2009.48</v>
      </c>
      <c r="Q16" s="14"/>
      <c r="R16" s="14"/>
      <c r="S16" s="191"/>
      <c r="T16" s="14"/>
      <c r="U16" s="14">
        <f t="shared" si="4"/>
        <v>59803.156000000003</v>
      </c>
    </row>
    <row r="17" spans="1:21" ht="25.5">
      <c r="A17" s="255">
        <v>40046557</v>
      </c>
      <c r="B17" s="11">
        <v>33</v>
      </c>
      <c r="C17" s="12" t="s">
        <v>26</v>
      </c>
      <c r="D17" s="11">
        <v>125</v>
      </c>
      <c r="E17" s="13" t="s">
        <v>161</v>
      </c>
      <c r="F17" s="13" t="s">
        <v>860</v>
      </c>
      <c r="G17" s="13" t="s">
        <v>100</v>
      </c>
      <c r="H17" s="265">
        <v>136105</v>
      </c>
      <c r="I17" s="14"/>
      <c r="J17" s="169">
        <f>2329.89+12068.729</f>
        <v>14398.618999999999</v>
      </c>
      <c r="K17" s="14">
        <v>14848.093000000001</v>
      </c>
      <c r="L17" s="14">
        <v>20421.227999999999</v>
      </c>
      <c r="M17" s="14"/>
      <c r="N17" s="14"/>
      <c r="O17" s="14">
        <v>33056.036999999997</v>
      </c>
      <c r="P17" s="169"/>
      <c r="Q17" s="14"/>
      <c r="R17" s="14"/>
      <c r="S17" s="191"/>
      <c r="T17" s="14"/>
      <c r="U17" s="14">
        <f t="shared" si="4"/>
        <v>82723.976999999999</v>
      </c>
    </row>
    <row r="18" spans="1:21" ht="25.5">
      <c r="A18" s="255">
        <v>40045932</v>
      </c>
      <c r="B18" s="11">
        <v>33</v>
      </c>
      <c r="C18" s="12" t="s">
        <v>26</v>
      </c>
      <c r="D18" s="11">
        <v>125</v>
      </c>
      <c r="E18" s="13" t="s">
        <v>161</v>
      </c>
      <c r="F18" s="13" t="s">
        <v>861</v>
      </c>
      <c r="G18" s="13" t="s">
        <v>85</v>
      </c>
      <c r="H18" s="265">
        <v>65000</v>
      </c>
      <c r="I18" s="14"/>
      <c r="J18" s="169"/>
      <c r="K18" s="14">
        <v>36491.99</v>
      </c>
      <c r="L18" s="14"/>
      <c r="M18" s="14"/>
      <c r="N18" s="14"/>
      <c r="O18" s="14"/>
      <c r="P18" s="169"/>
      <c r="Q18" s="14"/>
      <c r="R18" s="14"/>
      <c r="S18" s="191"/>
      <c r="T18" s="14"/>
      <c r="U18" s="14">
        <f t="shared" si="4"/>
        <v>36491.99</v>
      </c>
    </row>
    <row r="19" spans="1:21">
      <c r="A19" s="255">
        <v>40042924</v>
      </c>
      <c r="B19" s="11">
        <v>33</v>
      </c>
      <c r="C19" s="12" t="s">
        <v>26</v>
      </c>
      <c r="D19" s="11">
        <v>125</v>
      </c>
      <c r="E19" s="13" t="s">
        <v>161</v>
      </c>
      <c r="F19" s="13" t="s">
        <v>862</v>
      </c>
      <c r="G19" s="13" t="s">
        <v>83</v>
      </c>
      <c r="H19" s="265">
        <v>108725</v>
      </c>
      <c r="I19" s="14"/>
      <c r="J19" s="169">
        <v>20336.297999999999</v>
      </c>
      <c r="K19" s="14"/>
      <c r="L19" s="14"/>
      <c r="M19" s="14"/>
      <c r="N19" s="14"/>
      <c r="O19" s="14">
        <v>37236.434999999998</v>
      </c>
      <c r="P19" s="169"/>
      <c r="Q19" s="14"/>
      <c r="R19" s="14"/>
      <c r="S19" s="191"/>
      <c r="T19" s="14"/>
      <c r="U19" s="14">
        <f t="shared" si="4"/>
        <v>57572.732999999993</v>
      </c>
    </row>
    <row r="20" spans="1:21" ht="25.5">
      <c r="A20" s="255">
        <v>40022408</v>
      </c>
      <c r="B20" s="11">
        <v>33</v>
      </c>
      <c r="C20" s="12" t="s">
        <v>26</v>
      </c>
      <c r="D20" s="11">
        <v>125</v>
      </c>
      <c r="E20" s="13" t="s">
        <v>161</v>
      </c>
      <c r="F20" s="13" t="s">
        <v>863</v>
      </c>
      <c r="G20" s="13" t="s">
        <v>83</v>
      </c>
      <c r="H20" s="265">
        <v>99339</v>
      </c>
      <c r="I20" s="14"/>
      <c r="J20" s="169">
        <v>18146.919999999998</v>
      </c>
      <c r="K20" s="14"/>
      <c r="L20" s="14"/>
      <c r="M20" s="14"/>
      <c r="N20" s="14"/>
      <c r="O20" s="14">
        <v>42640.686999999998</v>
      </c>
      <c r="P20" s="169"/>
      <c r="Q20" s="14"/>
      <c r="R20" s="14"/>
      <c r="S20" s="191"/>
      <c r="T20" s="14"/>
      <c r="U20" s="14">
        <f t="shared" si="4"/>
        <v>60787.606999999996</v>
      </c>
    </row>
    <row r="21" spans="1:21">
      <c r="A21" s="255">
        <v>40054280</v>
      </c>
      <c r="B21" s="11">
        <v>33</v>
      </c>
      <c r="C21" s="12" t="s">
        <v>26</v>
      </c>
      <c r="D21" s="11">
        <v>125</v>
      </c>
      <c r="E21" s="13" t="s">
        <v>161</v>
      </c>
      <c r="F21" s="13" t="s">
        <v>864</v>
      </c>
      <c r="G21" s="13" t="s">
        <v>94</v>
      </c>
      <c r="H21" s="265">
        <v>185307</v>
      </c>
      <c r="I21" s="14"/>
      <c r="J21" s="169">
        <v>41657.288999999997</v>
      </c>
      <c r="K21" s="14">
        <v>42862.381000000001</v>
      </c>
      <c r="L21" s="14">
        <v>65786.543000000005</v>
      </c>
      <c r="M21" s="14"/>
      <c r="N21" s="14"/>
      <c r="O21" s="14">
        <v>34985.311999999998</v>
      </c>
      <c r="P21" s="169"/>
      <c r="Q21" s="14"/>
      <c r="R21" s="14"/>
      <c r="S21" s="191"/>
      <c r="T21" s="14"/>
      <c r="U21" s="14">
        <f t="shared" si="4"/>
        <v>185291.52499999999</v>
      </c>
    </row>
    <row r="22" spans="1:21">
      <c r="A22" s="255">
        <v>40046617</v>
      </c>
      <c r="B22" s="11">
        <v>33</v>
      </c>
      <c r="C22" s="12" t="s">
        <v>26</v>
      </c>
      <c r="D22" s="11">
        <v>125</v>
      </c>
      <c r="E22" s="13" t="s">
        <v>161</v>
      </c>
      <c r="F22" s="13" t="s">
        <v>865</v>
      </c>
      <c r="G22" s="13" t="s">
        <v>99</v>
      </c>
      <c r="H22" s="265">
        <v>90823</v>
      </c>
      <c r="I22" s="14"/>
      <c r="J22" s="169">
        <v>29618.662</v>
      </c>
      <c r="K22" s="14">
        <v>23413.453000000001</v>
      </c>
      <c r="L22" s="14"/>
      <c r="M22" s="14">
        <v>14847.259</v>
      </c>
      <c r="N22" s="14"/>
      <c r="O22" s="14"/>
      <c r="P22" s="169"/>
      <c r="Q22" s="14">
        <v>22601.350999999999</v>
      </c>
      <c r="R22" s="14"/>
      <c r="S22" s="191"/>
      <c r="T22" s="14"/>
      <c r="U22" s="14">
        <f t="shared" si="4"/>
        <v>90480.725000000006</v>
      </c>
    </row>
    <row r="23" spans="1:21" ht="25.5">
      <c r="A23" s="255">
        <v>40044387</v>
      </c>
      <c r="B23" s="11">
        <v>33</v>
      </c>
      <c r="C23" s="12" t="s">
        <v>26</v>
      </c>
      <c r="D23" s="11">
        <v>125</v>
      </c>
      <c r="E23" s="13" t="s">
        <v>161</v>
      </c>
      <c r="F23" s="13" t="s">
        <v>866</v>
      </c>
      <c r="G23" s="13" t="s">
        <v>84</v>
      </c>
      <c r="H23" s="265">
        <v>123054</v>
      </c>
      <c r="I23" s="14"/>
      <c r="J23" s="169">
        <v>31763.645</v>
      </c>
      <c r="K23" s="14">
        <v>31198.080999999998</v>
      </c>
      <c r="L23" s="14">
        <v>8403.0360000000001</v>
      </c>
      <c r="M23" s="14"/>
      <c r="N23" s="14">
        <v>19298.080999999998</v>
      </c>
      <c r="O23" s="14"/>
      <c r="P23" s="169">
        <v>14312.205</v>
      </c>
      <c r="Q23" s="14"/>
      <c r="R23" s="14"/>
      <c r="S23" s="191"/>
      <c r="T23" s="14"/>
      <c r="U23" s="14">
        <f t="shared" si="4"/>
        <v>104975.048</v>
      </c>
    </row>
    <row r="24" spans="1:21">
      <c r="A24" s="255">
        <v>40024164</v>
      </c>
      <c r="B24" s="11">
        <v>33</v>
      </c>
      <c r="C24" s="12" t="s">
        <v>26</v>
      </c>
      <c r="D24" s="11">
        <v>125</v>
      </c>
      <c r="E24" s="13" t="s">
        <v>161</v>
      </c>
      <c r="F24" s="13" t="s">
        <v>867</v>
      </c>
      <c r="G24" s="13" t="s">
        <v>92</v>
      </c>
      <c r="H24" s="265">
        <v>121360</v>
      </c>
      <c r="I24" s="14"/>
      <c r="J24" s="169">
        <v>10243.843999999999</v>
      </c>
      <c r="K24" s="14">
        <v>42696.991000000002</v>
      </c>
      <c r="L24" s="14">
        <v>31956.083999999999</v>
      </c>
      <c r="M24" s="14"/>
      <c r="N24" s="14">
        <v>30416.9</v>
      </c>
      <c r="O24" s="14"/>
      <c r="P24" s="169"/>
      <c r="Q24" s="14"/>
      <c r="R24" s="14"/>
      <c r="S24" s="191"/>
      <c r="T24" s="14"/>
      <c r="U24" s="14">
        <f t="shared" ref="U24:U25" si="5">SUM(I24:T24)</f>
        <v>115313.81899999999</v>
      </c>
    </row>
    <row r="25" spans="1:21" ht="25.5">
      <c r="A25" s="255">
        <v>40045460</v>
      </c>
      <c r="B25" s="11">
        <v>33</v>
      </c>
      <c r="C25" s="12" t="s">
        <v>26</v>
      </c>
      <c r="D25" s="11">
        <v>125</v>
      </c>
      <c r="E25" s="13" t="s">
        <v>161</v>
      </c>
      <c r="F25" s="13" t="s">
        <v>868</v>
      </c>
      <c r="G25" s="13" t="s">
        <v>86</v>
      </c>
      <c r="H25" s="265">
        <v>185247</v>
      </c>
      <c r="I25" s="14"/>
      <c r="J25" s="169"/>
      <c r="K25" s="14">
        <v>82685.148000000001</v>
      </c>
      <c r="L25" s="14">
        <v>30426.968000000001</v>
      </c>
      <c r="M25" s="14">
        <v>30382.993999999999</v>
      </c>
      <c r="N25" s="14">
        <v>41751.582000000002</v>
      </c>
      <c r="O25" s="14"/>
      <c r="P25" s="169"/>
      <c r="Q25" s="14"/>
      <c r="R25" s="14"/>
      <c r="S25" s="191"/>
      <c r="T25" s="14"/>
      <c r="U25" s="14">
        <f t="shared" si="5"/>
        <v>185246.69200000001</v>
      </c>
    </row>
    <row r="26" spans="1:21" ht="25.5">
      <c r="A26" s="255">
        <v>40042912</v>
      </c>
      <c r="B26" s="11">
        <v>33</v>
      </c>
      <c r="C26" s="12" t="s">
        <v>26</v>
      </c>
      <c r="D26" s="11">
        <v>125</v>
      </c>
      <c r="E26" s="13" t="s">
        <v>161</v>
      </c>
      <c r="F26" s="13" t="s">
        <v>869</v>
      </c>
      <c r="G26" s="13" t="s">
        <v>82</v>
      </c>
      <c r="H26" s="265">
        <v>92653</v>
      </c>
      <c r="I26" s="14"/>
      <c r="J26" s="169"/>
      <c r="K26" s="14">
        <v>7793.067</v>
      </c>
      <c r="L26" s="14">
        <v>7536.7569999999996</v>
      </c>
      <c r="M26" s="14"/>
      <c r="N26" s="14">
        <v>9121.9249999999993</v>
      </c>
      <c r="O26" s="14"/>
      <c r="P26" s="169">
        <v>7687.0389999999998</v>
      </c>
      <c r="Q26" s="14"/>
      <c r="R26" s="14"/>
      <c r="S26" s="191"/>
      <c r="T26" s="14"/>
      <c r="U26" s="14">
        <f t="shared" ref="U26:U28" si="6">SUM(I26:T26)</f>
        <v>32138.788</v>
      </c>
    </row>
    <row r="27" spans="1:21" ht="25.5">
      <c r="A27" s="255">
        <v>40051812</v>
      </c>
      <c r="B27" s="11">
        <v>33</v>
      </c>
      <c r="C27" s="12" t="s">
        <v>26</v>
      </c>
      <c r="D27" s="11">
        <v>125</v>
      </c>
      <c r="E27" s="13" t="s">
        <v>161</v>
      </c>
      <c r="F27" s="13" t="s">
        <v>870</v>
      </c>
      <c r="G27" s="13" t="s">
        <v>90</v>
      </c>
      <c r="H27" s="265">
        <v>185307</v>
      </c>
      <c r="I27" s="14"/>
      <c r="J27" s="169"/>
      <c r="K27" s="14"/>
      <c r="L27" s="14"/>
      <c r="M27" s="14">
        <v>39236.900999999998</v>
      </c>
      <c r="N27" s="14">
        <v>29118.807000000001</v>
      </c>
      <c r="O27" s="14">
        <v>38870.209000000003</v>
      </c>
      <c r="P27" s="169">
        <v>31895.187000000002</v>
      </c>
      <c r="Q27" s="14"/>
      <c r="R27" s="14"/>
      <c r="S27" s="191"/>
      <c r="T27" s="14"/>
      <c r="U27" s="14">
        <f t="shared" si="6"/>
        <v>139121.10399999999</v>
      </c>
    </row>
    <row r="28" spans="1:21">
      <c r="A28" s="255">
        <v>40046990</v>
      </c>
      <c r="B28" s="11">
        <v>33</v>
      </c>
      <c r="C28" s="12" t="s">
        <v>26</v>
      </c>
      <c r="D28" s="11">
        <v>125</v>
      </c>
      <c r="E28" s="13" t="s">
        <v>161</v>
      </c>
      <c r="F28" s="13" t="s">
        <v>871</v>
      </c>
      <c r="G28" s="13" t="s">
        <v>98</v>
      </c>
      <c r="H28" s="265">
        <v>119471.929</v>
      </c>
      <c r="I28" s="14"/>
      <c r="J28" s="169"/>
      <c r="K28" s="14"/>
      <c r="L28" s="14"/>
      <c r="M28" s="14">
        <v>19965.612000000001</v>
      </c>
      <c r="N28" s="14"/>
      <c r="O28" s="14"/>
      <c r="P28" s="169">
        <v>19584.755000000001</v>
      </c>
      <c r="Q28" s="14"/>
      <c r="R28" s="14">
        <v>30626.097000000002</v>
      </c>
      <c r="S28" s="191"/>
      <c r="T28" s="14"/>
      <c r="U28" s="14">
        <f t="shared" si="6"/>
        <v>70176.464000000007</v>
      </c>
    </row>
    <row r="29" spans="1:21" ht="25.5">
      <c r="A29" s="255">
        <v>40024819</v>
      </c>
      <c r="B29" s="11">
        <v>33</v>
      </c>
      <c r="C29" s="12" t="s">
        <v>26</v>
      </c>
      <c r="D29" s="11">
        <v>125</v>
      </c>
      <c r="E29" s="13" t="s">
        <v>161</v>
      </c>
      <c r="F29" s="13" t="s">
        <v>872</v>
      </c>
      <c r="G29" s="13" t="s">
        <v>91</v>
      </c>
      <c r="H29" s="265">
        <v>106866</v>
      </c>
      <c r="I29" s="14"/>
      <c r="J29" s="169"/>
      <c r="K29" s="14"/>
      <c r="L29" s="14"/>
      <c r="M29" s="14"/>
      <c r="N29" s="14">
        <v>46111.167999999998</v>
      </c>
      <c r="O29" s="14"/>
      <c r="P29" s="169"/>
      <c r="Q29" s="14"/>
      <c r="R29" s="14">
        <v>52577.586000000003</v>
      </c>
      <c r="S29" s="191"/>
      <c r="T29" s="14"/>
      <c r="U29" s="14">
        <f t="shared" ref="U29" si="7">SUM(I29:T29)</f>
        <v>98688.754000000001</v>
      </c>
    </row>
    <row r="30" spans="1:21" ht="38.25">
      <c r="A30" s="255">
        <v>40053029</v>
      </c>
      <c r="B30" s="11">
        <v>33</v>
      </c>
      <c r="C30" s="12" t="s">
        <v>26</v>
      </c>
      <c r="D30" s="11">
        <v>125</v>
      </c>
      <c r="E30" s="13" t="s">
        <v>161</v>
      </c>
      <c r="F30" s="13" t="s">
        <v>873</v>
      </c>
      <c r="G30" s="13" t="s">
        <v>91</v>
      </c>
      <c r="H30" s="265">
        <v>87639.008000000002</v>
      </c>
      <c r="I30" s="14"/>
      <c r="J30" s="169"/>
      <c r="K30" s="14"/>
      <c r="L30" s="14"/>
      <c r="M30" s="14"/>
      <c r="N30" s="14"/>
      <c r="O30" s="14">
        <v>79309.706000000006</v>
      </c>
      <c r="P30" s="169">
        <v>8330.2939999999999</v>
      </c>
      <c r="Q30" s="14"/>
      <c r="R30" s="14"/>
      <c r="S30" s="191"/>
      <c r="T30" s="14"/>
      <c r="U30" s="14">
        <f t="shared" ref="U30" si="8">SUM(I30:T30)</f>
        <v>87640</v>
      </c>
    </row>
    <row r="31" spans="1:21" ht="25.5">
      <c r="A31" s="255">
        <v>40044145</v>
      </c>
      <c r="B31" s="11">
        <v>33</v>
      </c>
      <c r="C31" s="12" t="s">
        <v>26</v>
      </c>
      <c r="D31" s="11">
        <v>125</v>
      </c>
      <c r="E31" s="13" t="s">
        <v>161</v>
      </c>
      <c r="F31" s="13" t="s">
        <v>874</v>
      </c>
      <c r="G31" s="13" t="s">
        <v>93</v>
      </c>
      <c r="H31" s="265">
        <v>50018.535000000003</v>
      </c>
      <c r="I31" s="14"/>
      <c r="J31" s="169"/>
      <c r="K31" s="14"/>
      <c r="L31" s="14"/>
      <c r="M31" s="14"/>
      <c r="N31" s="14"/>
      <c r="O31" s="14">
        <v>14816.094999999999</v>
      </c>
      <c r="P31" s="169">
        <v>10887.175999999999</v>
      </c>
      <c r="Q31" s="14"/>
      <c r="R31" s="14">
        <v>12510.915999999999</v>
      </c>
      <c r="S31" s="191"/>
      <c r="T31" s="14"/>
      <c r="U31" s="14">
        <f t="shared" ref="U31" si="9">SUM(I31:T31)</f>
        <v>38214.186999999998</v>
      </c>
    </row>
    <row r="32" spans="1:21" ht="25.5">
      <c r="A32" s="255">
        <v>40044142</v>
      </c>
      <c r="B32" s="11">
        <v>33</v>
      </c>
      <c r="C32" s="12" t="s">
        <v>26</v>
      </c>
      <c r="D32" s="11">
        <v>125</v>
      </c>
      <c r="E32" s="13" t="s">
        <v>161</v>
      </c>
      <c r="F32" s="13" t="s">
        <v>875</v>
      </c>
      <c r="G32" s="13" t="s">
        <v>93</v>
      </c>
      <c r="H32" s="265">
        <v>123910.465</v>
      </c>
      <c r="I32" s="14"/>
      <c r="J32" s="169"/>
      <c r="K32" s="14"/>
      <c r="L32" s="14"/>
      <c r="M32" s="14"/>
      <c r="N32" s="14"/>
      <c r="O32" s="14"/>
      <c r="P32" s="169">
        <v>31682.708999999999</v>
      </c>
      <c r="Q32" s="14"/>
      <c r="R32" s="14"/>
      <c r="S32" s="191"/>
      <c r="T32" s="14"/>
      <c r="U32" s="14">
        <f t="shared" ref="U32" si="10">SUM(I32:T32)</f>
        <v>31682.708999999999</v>
      </c>
    </row>
    <row r="33" spans="1:21">
      <c r="A33" s="255">
        <v>40024226</v>
      </c>
      <c r="B33" s="11">
        <v>33</v>
      </c>
      <c r="C33" s="12" t="s">
        <v>26</v>
      </c>
      <c r="D33" s="11">
        <v>125</v>
      </c>
      <c r="E33" s="13" t="s">
        <v>161</v>
      </c>
      <c r="F33" s="13" t="s">
        <v>876</v>
      </c>
      <c r="G33" s="13" t="s">
        <v>90</v>
      </c>
      <c r="H33" s="265">
        <v>41293</v>
      </c>
      <c r="I33" s="14"/>
      <c r="J33" s="169"/>
      <c r="K33" s="14"/>
      <c r="L33" s="14"/>
      <c r="M33" s="14"/>
      <c r="N33" s="14"/>
      <c r="O33" s="14"/>
      <c r="P33" s="169"/>
      <c r="Q33" s="14">
        <v>4129.3</v>
      </c>
      <c r="R33" s="14"/>
      <c r="S33" s="191"/>
      <c r="T33" s="14"/>
      <c r="U33" s="14">
        <f t="shared" ref="U33" si="11">SUM(I33:T33)</f>
        <v>4129.3</v>
      </c>
    </row>
    <row r="34" spans="1:21" ht="25.5">
      <c r="A34" s="255">
        <v>40055075</v>
      </c>
      <c r="B34" s="11">
        <v>33</v>
      </c>
      <c r="C34" s="12" t="s">
        <v>26</v>
      </c>
      <c r="D34" s="11">
        <v>125</v>
      </c>
      <c r="E34" s="13" t="s">
        <v>161</v>
      </c>
      <c r="F34" s="13" t="s">
        <v>1051</v>
      </c>
      <c r="G34" s="13" t="s">
        <v>100</v>
      </c>
      <c r="H34" s="265">
        <v>184680.21100000001</v>
      </c>
      <c r="I34" s="14"/>
      <c r="J34" s="169"/>
      <c r="K34" s="14"/>
      <c r="L34" s="14"/>
      <c r="M34" s="14"/>
      <c r="N34" s="14"/>
      <c r="O34" s="14"/>
      <c r="P34" s="169"/>
      <c r="Q34" s="14"/>
      <c r="R34" s="14">
        <v>30545.128000000001</v>
      </c>
      <c r="S34" s="191"/>
      <c r="T34" s="14"/>
      <c r="U34" s="14">
        <f t="shared" ref="U34" si="12">SUM(I34:T34)</f>
        <v>30545.128000000001</v>
      </c>
    </row>
    <row r="35" spans="1:21">
      <c r="J35" s="15"/>
      <c r="P35" s="15"/>
    </row>
    <row r="36" spans="1:21">
      <c r="J36" s="15"/>
      <c r="P36" s="15"/>
    </row>
    <row r="37" spans="1:21" ht="38.25">
      <c r="G37" s="10" t="s">
        <v>79</v>
      </c>
      <c r="H37" s="10" t="s">
        <v>144</v>
      </c>
      <c r="I37" s="8">
        <f>I$2</f>
        <v>45292</v>
      </c>
      <c r="J37" s="8">
        <f t="shared" ref="J37:T37" si="13">J$2</f>
        <v>45323</v>
      </c>
      <c r="K37" s="8">
        <f t="shared" si="13"/>
        <v>45352</v>
      </c>
      <c r="L37" s="8">
        <f t="shared" si="13"/>
        <v>45383</v>
      </c>
      <c r="M37" s="8">
        <f t="shared" si="13"/>
        <v>45413</v>
      </c>
      <c r="N37" s="8">
        <f t="shared" si="13"/>
        <v>45444</v>
      </c>
      <c r="O37" s="8">
        <f t="shared" si="13"/>
        <v>45474</v>
      </c>
      <c r="P37" s="8">
        <f t="shared" si="13"/>
        <v>45505</v>
      </c>
      <c r="Q37" s="8">
        <f t="shared" si="13"/>
        <v>45536</v>
      </c>
      <c r="R37" s="8">
        <f t="shared" si="13"/>
        <v>45566</v>
      </c>
      <c r="S37" s="8">
        <f t="shared" si="13"/>
        <v>45597</v>
      </c>
      <c r="T37" s="8">
        <f t="shared" si="13"/>
        <v>45627</v>
      </c>
      <c r="U37" s="8" t="str">
        <f>U$2</f>
        <v>GASTO 2024</v>
      </c>
    </row>
    <row r="38" spans="1:21">
      <c r="F38" s="15"/>
      <c r="G38" s="13" t="s">
        <v>82</v>
      </c>
      <c r="H38" s="14">
        <f t="shared" ref="H38:H43" si="14">SUMIFS($H$3:$H$34,$G$3:$G$34,G38)</f>
        <v>257211</v>
      </c>
      <c r="I38" s="14">
        <f>SUMIFS(I$3:I$34,$G$3:$G$34,$G38)</f>
        <v>0</v>
      </c>
      <c r="J38" s="14">
        <f t="shared" ref="J38:T38" si="15">SUMIFS(J$3:J$34,$G$3:$G$34,$G38)</f>
        <v>13549.319</v>
      </c>
      <c r="K38" s="14">
        <f t="shared" si="15"/>
        <v>14225.761</v>
      </c>
      <c r="L38" s="14">
        <f t="shared" si="15"/>
        <v>22375.055</v>
      </c>
      <c r="M38" s="14">
        <f t="shared" si="15"/>
        <v>0</v>
      </c>
      <c r="N38" s="14">
        <f t="shared" si="15"/>
        <v>31458.358</v>
      </c>
      <c r="O38" s="14">
        <f t="shared" si="15"/>
        <v>12103.376</v>
      </c>
      <c r="P38" s="14">
        <f t="shared" si="15"/>
        <v>15423.839</v>
      </c>
      <c r="Q38" s="14">
        <f t="shared" si="15"/>
        <v>18370.329000000002</v>
      </c>
      <c r="R38" s="14">
        <f t="shared" si="15"/>
        <v>0</v>
      </c>
      <c r="S38" s="14">
        <f t="shared" si="15"/>
        <v>0</v>
      </c>
      <c r="T38" s="14">
        <f t="shared" si="15"/>
        <v>0</v>
      </c>
      <c r="U38" s="14">
        <f>SUM(I38:T38)</f>
        <v>127506.03700000001</v>
      </c>
    </row>
    <row r="39" spans="1:21">
      <c r="F39" s="15"/>
      <c r="G39" s="13" t="s">
        <v>84</v>
      </c>
      <c r="H39" s="14">
        <f t="shared" si="14"/>
        <v>222098</v>
      </c>
      <c r="I39" s="14">
        <f t="shared" ref="I39:T43" si="16">SUMIFS(I$3:I$34,$G$3:$G$34,$G39)</f>
        <v>0</v>
      </c>
      <c r="J39" s="14">
        <f t="shared" si="16"/>
        <v>46127.1</v>
      </c>
      <c r="K39" s="14">
        <f t="shared" si="16"/>
        <v>74628.301999999996</v>
      </c>
      <c r="L39" s="14">
        <f t="shared" si="16"/>
        <v>8403.0360000000001</v>
      </c>
      <c r="M39" s="14">
        <f t="shared" si="16"/>
        <v>0</v>
      </c>
      <c r="N39" s="14">
        <f t="shared" si="16"/>
        <v>19298.080999999998</v>
      </c>
      <c r="O39" s="14">
        <f t="shared" si="16"/>
        <v>0</v>
      </c>
      <c r="P39" s="14">
        <f t="shared" si="16"/>
        <v>16321.684999999999</v>
      </c>
      <c r="Q39" s="14">
        <f t="shared" si="16"/>
        <v>0</v>
      </c>
      <c r="R39" s="14">
        <f t="shared" si="16"/>
        <v>0</v>
      </c>
      <c r="S39" s="14">
        <f t="shared" si="16"/>
        <v>0</v>
      </c>
      <c r="T39" s="14">
        <f t="shared" si="16"/>
        <v>0</v>
      </c>
      <c r="U39" s="14">
        <f t="shared" ref="U39:U43" si="17">SUM(I39:T39)</f>
        <v>164778.204</v>
      </c>
    </row>
    <row r="40" spans="1:21">
      <c r="F40" s="15"/>
      <c r="G40" s="13" t="s">
        <v>85</v>
      </c>
      <c r="H40" s="14">
        <f t="shared" si="14"/>
        <v>65000</v>
      </c>
      <c r="I40" s="14">
        <f t="shared" si="16"/>
        <v>0</v>
      </c>
      <c r="J40" s="14">
        <f t="shared" si="16"/>
        <v>0</v>
      </c>
      <c r="K40" s="14">
        <f t="shared" si="16"/>
        <v>36491.99</v>
      </c>
      <c r="L40" s="14">
        <f t="shared" si="16"/>
        <v>0</v>
      </c>
      <c r="M40" s="14">
        <f t="shared" si="16"/>
        <v>0</v>
      </c>
      <c r="N40" s="14">
        <f t="shared" si="16"/>
        <v>0</v>
      </c>
      <c r="O40" s="14">
        <f t="shared" si="16"/>
        <v>0</v>
      </c>
      <c r="P40" s="14">
        <f t="shared" si="16"/>
        <v>0</v>
      </c>
      <c r="Q40" s="14">
        <f t="shared" si="16"/>
        <v>0</v>
      </c>
      <c r="R40" s="14">
        <f t="shared" si="16"/>
        <v>0</v>
      </c>
      <c r="S40" s="14">
        <f t="shared" si="16"/>
        <v>0</v>
      </c>
      <c r="T40" s="14">
        <f t="shared" si="16"/>
        <v>0</v>
      </c>
      <c r="U40" s="14">
        <f t="shared" si="17"/>
        <v>36491.99</v>
      </c>
    </row>
    <row r="41" spans="1:21">
      <c r="F41" s="15"/>
      <c r="G41" s="13" t="s">
        <v>83</v>
      </c>
      <c r="H41" s="14">
        <f t="shared" si="14"/>
        <v>208064</v>
      </c>
      <c r="I41" s="14">
        <f t="shared" si="16"/>
        <v>0</v>
      </c>
      <c r="J41" s="14">
        <f t="shared" si="16"/>
        <v>38483.217999999993</v>
      </c>
      <c r="K41" s="14">
        <f t="shared" si="16"/>
        <v>0</v>
      </c>
      <c r="L41" s="14">
        <f t="shared" si="16"/>
        <v>0</v>
      </c>
      <c r="M41" s="14">
        <f t="shared" si="16"/>
        <v>0</v>
      </c>
      <c r="N41" s="14">
        <f t="shared" si="16"/>
        <v>0</v>
      </c>
      <c r="O41" s="14">
        <f t="shared" si="16"/>
        <v>79877.122000000003</v>
      </c>
      <c r="P41" s="14">
        <f t="shared" si="16"/>
        <v>0</v>
      </c>
      <c r="Q41" s="14">
        <f t="shared" si="16"/>
        <v>0</v>
      </c>
      <c r="R41" s="14">
        <f t="shared" si="16"/>
        <v>0</v>
      </c>
      <c r="S41" s="14">
        <f t="shared" si="16"/>
        <v>0</v>
      </c>
      <c r="T41" s="14">
        <f t="shared" si="16"/>
        <v>0</v>
      </c>
      <c r="U41" s="14">
        <f t="shared" si="17"/>
        <v>118360.34</v>
      </c>
    </row>
    <row r="42" spans="1:21">
      <c r="F42" s="15"/>
      <c r="G42" s="13" t="s">
        <v>86</v>
      </c>
      <c r="H42" s="14">
        <f t="shared" si="14"/>
        <v>505712.174</v>
      </c>
      <c r="I42" s="14">
        <f>SUMIFS(I$3:I$34,$G$3:$G$34,$G42)</f>
        <v>0</v>
      </c>
      <c r="J42" s="14">
        <f t="shared" si="16"/>
        <v>22184.985000000001</v>
      </c>
      <c r="K42" s="14">
        <f t="shared" si="16"/>
        <v>89739.592999999993</v>
      </c>
      <c r="L42" s="14">
        <f t="shared" si="16"/>
        <v>30426.968000000001</v>
      </c>
      <c r="M42" s="14">
        <f t="shared" si="16"/>
        <v>59772.945</v>
      </c>
      <c r="N42" s="14">
        <f t="shared" si="16"/>
        <v>46493.179000000004</v>
      </c>
      <c r="O42" s="14">
        <f t="shared" si="16"/>
        <v>0</v>
      </c>
      <c r="P42" s="14">
        <f t="shared" si="16"/>
        <v>12257.302</v>
      </c>
      <c r="Q42" s="14">
        <f t="shared" si="16"/>
        <v>13160.145</v>
      </c>
      <c r="R42" s="14">
        <f t="shared" si="16"/>
        <v>0</v>
      </c>
      <c r="S42" s="14">
        <f t="shared" si="16"/>
        <v>0</v>
      </c>
      <c r="T42" s="14">
        <f t="shared" si="16"/>
        <v>0</v>
      </c>
      <c r="U42" s="14">
        <f t="shared" si="17"/>
        <v>274035.11700000003</v>
      </c>
    </row>
    <row r="43" spans="1:21">
      <c r="F43" s="15"/>
      <c r="G43" s="13" t="s">
        <v>87</v>
      </c>
      <c r="H43" s="14">
        <f t="shared" si="14"/>
        <v>0</v>
      </c>
      <c r="I43" s="14">
        <f>SUMIFS(I$3:I$34,$G$3:$G$34,$G43)</f>
        <v>0</v>
      </c>
      <c r="J43" s="14">
        <f t="shared" si="16"/>
        <v>0</v>
      </c>
      <c r="K43" s="14">
        <f t="shared" si="16"/>
        <v>0</v>
      </c>
      <c r="L43" s="14">
        <f t="shared" si="16"/>
        <v>0</v>
      </c>
      <c r="M43" s="14">
        <f t="shared" si="16"/>
        <v>0</v>
      </c>
      <c r="N43" s="14">
        <f t="shared" si="16"/>
        <v>0</v>
      </c>
      <c r="O43" s="14">
        <f t="shared" si="16"/>
        <v>0</v>
      </c>
      <c r="P43" s="14">
        <f t="shared" si="16"/>
        <v>0</v>
      </c>
      <c r="Q43" s="14">
        <f t="shared" si="16"/>
        <v>0</v>
      </c>
      <c r="R43" s="14">
        <f t="shared" si="16"/>
        <v>0</v>
      </c>
      <c r="S43" s="14">
        <f t="shared" si="16"/>
        <v>0</v>
      </c>
      <c r="T43" s="14">
        <f t="shared" si="16"/>
        <v>0</v>
      </c>
      <c r="U43" s="14">
        <f t="shared" si="17"/>
        <v>0</v>
      </c>
    </row>
    <row r="44" spans="1:21">
      <c r="F44" s="15"/>
      <c r="G44" s="16" t="s">
        <v>107</v>
      </c>
      <c r="H44" s="17">
        <f>SUBTOTAL(9,H38:H43)</f>
        <v>1258085.1740000001</v>
      </c>
      <c r="I44" s="17">
        <f t="shared" ref="I44:T44" si="18">SUBTOTAL(9,I38:I43)</f>
        <v>0</v>
      </c>
      <c r="J44" s="17">
        <f t="shared" si="18"/>
        <v>120344.62199999999</v>
      </c>
      <c r="K44" s="17">
        <f>SUBTOTAL(9,K38:K43)</f>
        <v>215085.64599999998</v>
      </c>
      <c r="L44" s="17">
        <f>SUBTOTAL(9,L38:L43)</f>
        <v>61205.059000000001</v>
      </c>
      <c r="M44" s="17">
        <f t="shared" si="18"/>
        <v>59772.945</v>
      </c>
      <c r="N44" s="17">
        <f t="shared" si="18"/>
        <v>97249.618000000002</v>
      </c>
      <c r="O44" s="17">
        <f t="shared" si="18"/>
        <v>91980.498000000007</v>
      </c>
      <c r="P44" s="17">
        <f t="shared" si="18"/>
        <v>44002.826000000001</v>
      </c>
      <c r="Q44" s="17">
        <f t="shared" si="18"/>
        <v>31530.474000000002</v>
      </c>
      <c r="R44" s="17">
        <f t="shared" si="18"/>
        <v>0</v>
      </c>
      <c r="S44" s="17">
        <f t="shared" si="18"/>
        <v>0</v>
      </c>
      <c r="T44" s="17">
        <f t="shared" si="18"/>
        <v>0</v>
      </c>
      <c r="U44" s="17">
        <f>SUBTOTAL(9,U38:U43)</f>
        <v>721171.68800000008</v>
      </c>
    </row>
    <row r="45" spans="1:21">
      <c r="F45" s="15"/>
      <c r="G45" s="13" t="s">
        <v>90</v>
      </c>
      <c r="H45" s="14">
        <f>SUMIFS($H$3:$H$34,$G$3:$G$34,G45)</f>
        <v>346147</v>
      </c>
      <c r="I45" s="14">
        <f>SUMIFS(I$3:I$34,$G$3:$G$34,$G45)</f>
        <v>0</v>
      </c>
      <c r="J45" s="14">
        <f t="shared" ref="J45:T45" si="19">SUMIFS(J$3:J$34,$G$3:$G$34,$G45)</f>
        <v>12004.380999999999</v>
      </c>
      <c r="K45" s="14">
        <f t="shared" si="19"/>
        <v>0</v>
      </c>
      <c r="L45" s="14">
        <f t="shared" si="19"/>
        <v>0</v>
      </c>
      <c r="M45" s="14">
        <f t="shared" si="19"/>
        <v>39236.900999999998</v>
      </c>
      <c r="N45" s="14">
        <f t="shared" si="19"/>
        <v>43943.133999999998</v>
      </c>
      <c r="O45" s="14">
        <f t="shared" si="19"/>
        <v>38870.209000000003</v>
      </c>
      <c r="P45" s="14">
        <f t="shared" si="19"/>
        <v>33571.447</v>
      </c>
      <c r="Q45" s="14">
        <f t="shared" si="19"/>
        <v>4129.3</v>
      </c>
      <c r="R45" s="14">
        <f t="shared" si="19"/>
        <v>0</v>
      </c>
      <c r="S45" s="14">
        <f t="shared" si="19"/>
        <v>0</v>
      </c>
      <c r="T45" s="14">
        <f t="shared" si="19"/>
        <v>0</v>
      </c>
      <c r="U45" s="14">
        <f>SUM(I45:T45)</f>
        <v>171755.37199999997</v>
      </c>
    </row>
    <row r="46" spans="1:21">
      <c r="F46" s="15"/>
      <c r="G46" s="13" t="s">
        <v>92</v>
      </c>
      <c r="H46" s="14">
        <f>SUMIFS($H$3:$H$34,$G$3:$G$34,G46)</f>
        <v>121360</v>
      </c>
      <c r="I46" s="14">
        <f t="shared" ref="I46:T49" si="20">SUMIFS(I$3:I$34,$G$3:$G$34,$G46)</f>
        <v>0</v>
      </c>
      <c r="J46" s="14">
        <f t="shared" si="20"/>
        <v>10243.843999999999</v>
      </c>
      <c r="K46" s="14">
        <f t="shared" si="20"/>
        <v>42696.991000000002</v>
      </c>
      <c r="L46" s="14">
        <f t="shared" si="20"/>
        <v>31956.083999999999</v>
      </c>
      <c r="M46" s="14">
        <f t="shared" si="20"/>
        <v>0</v>
      </c>
      <c r="N46" s="14">
        <f t="shared" si="20"/>
        <v>30416.9</v>
      </c>
      <c r="O46" s="14">
        <f t="shared" si="20"/>
        <v>0</v>
      </c>
      <c r="P46" s="14">
        <f t="shared" si="20"/>
        <v>0</v>
      </c>
      <c r="Q46" s="14">
        <f t="shared" si="20"/>
        <v>0</v>
      </c>
      <c r="R46" s="14">
        <f t="shared" si="20"/>
        <v>0</v>
      </c>
      <c r="S46" s="14">
        <f t="shared" si="20"/>
        <v>0</v>
      </c>
      <c r="T46" s="14">
        <f t="shared" si="20"/>
        <v>0</v>
      </c>
      <c r="U46" s="14">
        <f>SUM(I46:T46)</f>
        <v>115313.81899999999</v>
      </c>
    </row>
    <row r="47" spans="1:21">
      <c r="F47" s="15"/>
      <c r="G47" s="13" t="s">
        <v>91</v>
      </c>
      <c r="H47" s="14">
        <f>SUMIFS($H$3:$H$34,$G$3:$G$34,G47)</f>
        <v>368249.00800000003</v>
      </c>
      <c r="I47" s="14">
        <f t="shared" si="20"/>
        <v>0</v>
      </c>
      <c r="J47" s="14">
        <f t="shared" si="20"/>
        <v>0</v>
      </c>
      <c r="K47" s="14">
        <f t="shared" si="20"/>
        <v>0</v>
      </c>
      <c r="L47" s="14">
        <f t="shared" si="20"/>
        <v>0</v>
      </c>
      <c r="M47" s="14">
        <f t="shared" si="20"/>
        <v>0</v>
      </c>
      <c r="N47" s="14">
        <f t="shared" si="20"/>
        <v>46111.167999999998</v>
      </c>
      <c r="O47" s="14">
        <f t="shared" si="20"/>
        <v>79309.706000000006</v>
      </c>
      <c r="P47" s="14">
        <f t="shared" si="20"/>
        <v>8330.2939999999999</v>
      </c>
      <c r="Q47" s="14">
        <f t="shared" si="20"/>
        <v>0</v>
      </c>
      <c r="R47" s="14">
        <f t="shared" si="20"/>
        <v>52577.586000000003</v>
      </c>
      <c r="S47" s="14">
        <f t="shared" si="20"/>
        <v>0</v>
      </c>
      <c r="T47" s="14">
        <f t="shared" si="20"/>
        <v>0</v>
      </c>
      <c r="U47" s="14">
        <f>SUM(I47:T47)</f>
        <v>186328.75400000002</v>
      </c>
    </row>
    <row r="48" spans="1:21">
      <c r="F48" s="15"/>
      <c r="G48" s="13" t="s">
        <v>93</v>
      </c>
      <c r="H48" s="14">
        <f>SUMIFS($H$3:$H$34,$G$3:$G$34,G48)</f>
        <v>273275</v>
      </c>
      <c r="I48" s="14">
        <f t="shared" si="20"/>
        <v>0</v>
      </c>
      <c r="J48" s="14">
        <f t="shared" si="20"/>
        <v>0</v>
      </c>
      <c r="K48" s="14">
        <f t="shared" si="20"/>
        <v>0</v>
      </c>
      <c r="L48" s="14">
        <f t="shared" si="20"/>
        <v>34643.875</v>
      </c>
      <c r="M48" s="14">
        <f t="shared" si="20"/>
        <v>0</v>
      </c>
      <c r="N48" s="14">
        <f t="shared" si="20"/>
        <v>0</v>
      </c>
      <c r="O48" s="14">
        <f t="shared" si="20"/>
        <v>14816.094999999999</v>
      </c>
      <c r="P48" s="14">
        <f t="shared" si="20"/>
        <v>64307.245999999999</v>
      </c>
      <c r="Q48" s="14">
        <f t="shared" si="20"/>
        <v>0</v>
      </c>
      <c r="R48" s="14">
        <f t="shared" si="20"/>
        <v>12510.915999999999</v>
      </c>
      <c r="S48" s="14">
        <f t="shared" si="20"/>
        <v>0</v>
      </c>
      <c r="T48" s="14">
        <f t="shared" si="20"/>
        <v>0</v>
      </c>
      <c r="U48" s="14">
        <f t="shared" ref="U48" si="21">SUM(I48:T48)</f>
        <v>126278.132</v>
      </c>
    </row>
    <row r="49" spans="6:21">
      <c r="F49" s="15"/>
      <c r="G49" s="13" t="s">
        <v>94</v>
      </c>
      <c r="H49" s="14">
        <f>SUMIFS($H$3:$H$34,$G$3:$G$34,G49)</f>
        <v>300163.67300000001</v>
      </c>
      <c r="I49" s="14">
        <f t="shared" si="20"/>
        <v>0</v>
      </c>
      <c r="J49" s="14">
        <f t="shared" si="20"/>
        <v>41657.288999999997</v>
      </c>
      <c r="K49" s="14">
        <f t="shared" si="20"/>
        <v>42862.381000000001</v>
      </c>
      <c r="L49" s="14">
        <f t="shared" si="20"/>
        <v>65786.543000000005</v>
      </c>
      <c r="M49" s="14">
        <f t="shared" si="20"/>
        <v>0</v>
      </c>
      <c r="N49" s="14">
        <f t="shared" si="20"/>
        <v>0</v>
      </c>
      <c r="O49" s="14">
        <f t="shared" si="20"/>
        <v>34985.311999999998</v>
      </c>
      <c r="P49" s="14">
        <f t="shared" si="20"/>
        <v>0</v>
      </c>
      <c r="Q49" s="14">
        <f t="shared" si="20"/>
        <v>0</v>
      </c>
      <c r="R49" s="14">
        <f t="shared" si="20"/>
        <v>0</v>
      </c>
      <c r="S49" s="14">
        <f t="shared" si="20"/>
        <v>0</v>
      </c>
      <c r="T49" s="14">
        <f t="shared" si="20"/>
        <v>0</v>
      </c>
      <c r="U49" s="14">
        <f>SUM(I49:T49)</f>
        <v>185291.52499999999</v>
      </c>
    </row>
    <row r="50" spans="6:21">
      <c r="F50" s="15"/>
      <c r="G50" s="16" t="s">
        <v>108</v>
      </c>
      <c r="H50" s="17">
        <f>SUBTOTAL(9,H45:H49)</f>
        <v>1409194.6809999999</v>
      </c>
      <c r="I50" s="17">
        <f t="shared" ref="I50:T50" si="22">SUBTOTAL(9,I45:I49)</f>
        <v>0</v>
      </c>
      <c r="J50" s="17">
        <f t="shared" si="22"/>
        <v>63905.513999999996</v>
      </c>
      <c r="K50" s="17">
        <f>SUBTOTAL(9,K45:K49)</f>
        <v>85559.372000000003</v>
      </c>
      <c r="L50" s="17">
        <f t="shared" si="22"/>
        <v>132386.50200000001</v>
      </c>
      <c r="M50" s="17">
        <f t="shared" si="22"/>
        <v>39236.900999999998</v>
      </c>
      <c r="N50" s="17">
        <f t="shared" si="22"/>
        <v>120471.20199999999</v>
      </c>
      <c r="O50" s="17">
        <f t="shared" si="22"/>
        <v>167981.32200000001</v>
      </c>
      <c r="P50" s="17">
        <f t="shared" si="22"/>
        <v>106208.98699999999</v>
      </c>
      <c r="Q50" s="17">
        <f t="shared" si="22"/>
        <v>4129.3</v>
      </c>
      <c r="R50" s="17">
        <f t="shared" si="22"/>
        <v>65088.502</v>
      </c>
      <c r="S50" s="17">
        <f t="shared" si="22"/>
        <v>0</v>
      </c>
      <c r="T50" s="17">
        <f t="shared" si="22"/>
        <v>0</v>
      </c>
      <c r="U50" s="17">
        <f>SUBTOTAL(9,U45:U49)</f>
        <v>784967.60200000007</v>
      </c>
    </row>
    <row r="51" spans="6:21">
      <c r="F51" s="15"/>
      <c r="G51" s="13" t="s">
        <v>97</v>
      </c>
      <c r="H51" s="14">
        <f>SUMIFS($H$3:$H$34,$G$3:$G$34,G51)</f>
        <v>78618</v>
      </c>
      <c r="I51" s="14">
        <f>SUMIFS(I$3:I$34,$G$3:$G$34,$G51)</f>
        <v>0</v>
      </c>
      <c r="J51" s="14">
        <f t="shared" ref="J51:T51" si="23">SUMIFS(J$3:J$34,$G$3:$G$34,$G51)</f>
        <v>9409.4779999999992</v>
      </c>
      <c r="K51" s="14">
        <f t="shared" si="23"/>
        <v>0</v>
      </c>
      <c r="L51" s="14">
        <f t="shared" si="23"/>
        <v>0</v>
      </c>
      <c r="M51" s="14">
        <f t="shared" si="23"/>
        <v>0</v>
      </c>
      <c r="N51" s="14">
        <f t="shared" si="23"/>
        <v>0</v>
      </c>
      <c r="O51" s="14">
        <f t="shared" si="23"/>
        <v>0</v>
      </c>
      <c r="P51" s="14">
        <f t="shared" si="23"/>
        <v>0</v>
      </c>
      <c r="Q51" s="14">
        <f t="shared" si="23"/>
        <v>0</v>
      </c>
      <c r="R51" s="14">
        <f t="shared" si="23"/>
        <v>0</v>
      </c>
      <c r="S51" s="14">
        <f t="shared" si="23"/>
        <v>0</v>
      </c>
      <c r="T51" s="14">
        <f t="shared" si="23"/>
        <v>0</v>
      </c>
      <c r="U51" s="14">
        <f>SUM(I51:T51)</f>
        <v>9409.4779999999992</v>
      </c>
    </row>
    <row r="52" spans="6:21">
      <c r="F52" s="15"/>
      <c r="G52" s="13" t="s">
        <v>99</v>
      </c>
      <c r="H52" s="14">
        <f>SUMIFS($H$3:$H$34,$G$3:$G$34,G52)</f>
        <v>90823</v>
      </c>
      <c r="I52" s="14">
        <f t="shared" ref="I52:T54" si="24">SUMIFS(I$3:I$34,$G$3:$G$34,$G52)</f>
        <v>0</v>
      </c>
      <c r="J52" s="14">
        <f t="shared" si="24"/>
        <v>29618.662</v>
      </c>
      <c r="K52" s="14">
        <f t="shared" si="24"/>
        <v>23413.453000000001</v>
      </c>
      <c r="L52" s="14">
        <f t="shared" si="24"/>
        <v>0</v>
      </c>
      <c r="M52" s="14">
        <f t="shared" si="24"/>
        <v>14847.259</v>
      </c>
      <c r="N52" s="14">
        <f t="shared" si="24"/>
        <v>0</v>
      </c>
      <c r="O52" s="14">
        <f t="shared" si="24"/>
        <v>0</v>
      </c>
      <c r="P52" s="14">
        <f t="shared" si="24"/>
        <v>0</v>
      </c>
      <c r="Q52" s="14">
        <f t="shared" si="24"/>
        <v>22601.350999999999</v>
      </c>
      <c r="R52" s="14">
        <f t="shared" si="24"/>
        <v>0</v>
      </c>
      <c r="S52" s="14">
        <f t="shared" si="24"/>
        <v>0</v>
      </c>
      <c r="T52" s="14">
        <f t="shared" si="24"/>
        <v>0</v>
      </c>
      <c r="U52" s="14">
        <f>SUM(I52:T52)</f>
        <v>90480.725000000006</v>
      </c>
    </row>
    <row r="53" spans="6:21">
      <c r="F53" s="15"/>
      <c r="G53" s="13" t="s">
        <v>98</v>
      </c>
      <c r="H53" s="14">
        <f>SUMIFS($H$3:$H$34,$G$3:$G$34,G53)</f>
        <v>119471.929</v>
      </c>
      <c r="I53" s="14">
        <f t="shared" si="24"/>
        <v>0</v>
      </c>
      <c r="J53" s="14">
        <f t="shared" si="24"/>
        <v>0</v>
      </c>
      <c r="K53" s="14">
        <f t="shared" si="24"/>
        <v>0</v>
      </c>
      <c r="L53" s="14">
        <f t="shared" si="24"/>
        <v>0</v>
      </c>
      <c r="M53" s="14">
        <f t="shared" si="24"/>
        <v>19965.612000000001</v>
      </c>
      <c r="N53" s="14">
        <f t="shared" si="24"/>
        <v>0</v>
      </c>
      <c r="O53" s="14">
        <f t="shared" si="24"/>
        <v>0</v>
      </c>
      <c r="P53" s="14">
        <f t="shared" si="24"/>
        <v>19584.755000000001</v>
      </c>
      <c r="Q53" s="14">
        <f t="shared" si="24"/>
        <v>0</v>
      </c>
      <c r="R53" s="14">
        <f t="shared" si="24"/>
        <v>30626.097000000002</v>
      </c>
      <c r="S53" s="14">
        <f t="shared" si="24"/>
        <v>0</v>
      </c>
      <c r="T53" s="14">
        <f t="shared" si="24"/>
        <v>0</v>
      </c>
      <c r="U53" s="14">
        <f>SUM(I53:T53)</f>
        <v>70176.464000000007</v>
      </c>
    </row>
    <row r="54" spans="6:21">
      <c r="F54" s="15"/>
      <c r="G54" s="13" t="s">
        <v>100</v>
      </c>
      <c r="H54" s="14">
        <f>SUMIFS($H$3:$H$34,$G$3:$G$34,G54)</f>
        <v>320785.21100000001</v>
      </c>
      <c r="I54" s="14">
        <f t="shared" si="24"/>
        <v>0</v>
      </c>
      <c r="J54" s="14">
        <f t="shared" si="24"/>
        <v>14398.618999999999</v>
      </c>
      <c r="K54" s="14">
        <f t="shared" si="24"/>
        <v>14848.093000000001</v>
      </c>
      <c r="L54" s="14">
        <f t="shared" si="24"/>
        <v>20421.227999999999</v>
      </c>
      <c r="M54" s="14">
        <f t="shared" si="24"/>
        <v>0</v>
      </c>
      <c r="N54" s="14">
        <f t="shared" si="24"/>
        <v>0</v>
      </c>
      <c r="O54" s="14">
        <f t="shared" si="24"/>
        <v>33056.036999999997</v>
      </c>
      <c r="P54" s="14">
        <f t="shared" si="24"/>
        <v>0</v>
      </c>
      <c r="Q54" s="14">
        <f t="shared" si="24"/>
        <v>0</v>
      </c>
      <c r="R54" s="14">
        <f t="shared" si="24"/>
        <v>30545.128000000001</v>
      </c>
      <c r="S54" s="14">
        <f t="shared" si="24"/>
        <v>0</v>
      </c>
      <c r="T54" s="14">
        <f t="shared" si="24"/>
        <v>0</v>
      </c>
      <c r="U54" s="14">
        <f>SUM(I54:T54)</f>
        <v>113269.105</v>
      </c>
    </row>
    <row r="55" spans="6:21">
      <c r="F55" s="15"/>
      <c r="G55" s="16" t="s">
        <v>109</v>
      </c>
      <c r="H55" s="17">
        <f>SUBTOTAL(9,H51:H54)</f>
        <v>609698.14</v>
      </c>
      <c r="I55" s="17">
        <f t="shared" ref="I55:T55" si="25">SUBTOTAL(9,I51:I54)</f>
        <v>0</v>
      </c>
      <c r="J55" s="17">
        <f t="shared" si="25"/>
        <v>53426.758999999998</v>
      </c>
      <c r="K55" s="17">
        <f>SUBTOTAL(9,K51:K54)</f>
        <v>38261.546000000002</v>
      </c>
      <c r="L55" s="17">
        <f t="shared" si="25"/>
        <v>20421.227999999999</v>
      </c>
      <c r="M55" s="17">
        <f t="shared" si="25"/>
        <v>34812.870999999999</v>
      </c>
      <c r="N55" s="17">
        <f t="shared" si="25"/>
        <v>0</v>
      </c>
      <c r="O55" s="17">
        <f t="shared" si="25"/>
        <v>33056.036999999997</v>
      </c>
      <c r="P55" s="17">
        <f t="shared" si="25"/>
        <v>19584.755000000001</v>
      </c>
      <c r="Q55" s="17">
        <f t="shared" si="25"/>
        <v>22601.350999999999</v>
      </c>
      <c r="R55" s="17">
        <f t="shared" si="25"/>
        <v>61171.225000000006</v>
      </c>
      <c r="S55" s="17">
        <f t="shared" si="25"/>
        <v>0</v>
      </c>
      <c r="T55" s="17">
        <f t="shared" si="25"/>
        <v>0</v>
      </c>
      <c r="U55" s="17">
        <f>SUBTOTAL(9,U51:U54)</f>
        <v>283335.772</v>
      </c>
    </row>
    <row r="57" spans="6:21">
      <c r="F57" s="15"/>
      <c r="G57" s="16" t="s">
        <v>877</v>
      </c>
      <c r="H57" s="17">
        <f>H44+H50+H55</f>
        <v>3276977.9950000001</v>
      </c>
      <c r="I57" s="17">
        <f>I44+I50+I55</f>
        <v>0</v>
      </c>
      <c r="J57" s="17">
        <f>J44+J50+J55</f>
        <v>237676.89499999999</v>
      </c>
      <c r="K57" s="17">
        <f t="shared" ref="K57:T57" si="26">K44+K50+K55</f>
        <v>338906.56400000001</v>
      </c>
      <c r="L57" s="17">
        <f>L44+L50+L55</f>
        <v>214012.78900000002</v>
      </c>
      <c r="M57" s="17">
        <f>M44+M50+M55</f>
        <v>133822.717</v>
      </c>
      <c r="N57" s="17">
        <f t="shared" si="26"/>
        <v>217720.82</v>
      </c>
      <c r="O57" s="17">
        <f t="shared" si="26"/>
        <v>293017.85700000002</v>
      </c>
      <c r="P57" s="17">
        <f t="shared" si="26"/>
        <v>169796.568</v>
      </c>
      <c r="Q57" s="17">
        <f t="shared" si="26"/>
        <v>58261.125</v>
      </c>
      <c r="R57" s="17">
        <f t="shared" si="26"/>
        <v>126259.72700000001</v>
      </c>
      <c r="S57" s="17">
        <f t="shared" si="26"/>
        <v>0</v>
      </c>
      <c r="T57" s="17">
        <f t="shared" si="26"/>
        <v>0</v>
      </c>
      <c r="U57" s="17">
        <f>U44+U50+U55</f>
        <v>1789475.0619999999</v>
      </c>
    </row>
  </sheetData>
  <sheetProtection algorithmName="SHA-512" hashValue="2jKgZihimcl7SBvFmR7Jr+gANXcS2EfcD9iJaxCvS7ClIp4V1J9EJR92A+ibquCzpEah5Up/JK0kf6+1d2aWiw==" saltValue="g7y8gCzskKR4SbRpB1ln9A==" spinCount="100000" sheet="1" objects="1" scenarios="1" selectLockedCells="1" selectUnlockedCells="1"/>
  <autoFilter ref="A2:U54" xr:uid="{00000000-0001-0000-0200-000000000000}"/>
  <phoneticPr fontId="27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214"/>
    <col min="2" max="2" width="55.5703125" style="214" customWidth="1"/>
    <col min="3" max="16384" width="11.42578125" style="214"/>
  </cols>
  <sheetData>
    <row r="2" spans="1:3">
      <c r="C2" s="215">
        <f>SUM(C3:C135)</f>
        <v>27331350</v>
      </c>
    </row>
    <row r="3" spans="1:3">
      <c r="A3" s="210">
        <v>20169586</v>
      </c>
      <c r="B3" s="208" t="s">
        <v>204</v>
      </c>
      <c r="C3" s="216">
        <v>1399434</v>
      </c>
    </row>
    <row r="4" spans="1:3" ht="25.5">
      <c r="A4" s="210">
        <v>30073116</v>
      </c>
      <c r="B4" s="208" t="s">
        <v>878</v>
      </c>
      <c r="C4" s="216">
        <v>1</v>
      </c>
    </row>
    <row r="5" spans="1:3">
      <c r="A5" s="210">
        <v>30073178</v>
      </c>
      <c r="B5" s="208" t="s">
        <v>879</v>
      </c>
      <c r="C5" s="216">
        <v>461089</v>
      </c>
    </row>
    <row r="6" spans="1:3" ht="25.5">
      <c r="A6" s="210">
        <v>30106198</v>
      </c>
      <c r="B6" s="208" t="s">
        <v>880</v>
      </c>
      <c r="C6" s="216">
        <v>781507</v>
      </c>
    </row>
    <row r="7" spans="1:3">
      <c r="A7" s="210">
        <v>30078529</v>
      </c>
      <c r="B7" s="208" t="s">
        <v>881</v>
      </c>
      <c r="C7" s="216">
        <v>230398</v>
      </c>
    </row>
    <row r="8" spans="1:3">
      <c r="A8" s="201">
        <v>30081585</v>
      </c>
      <c r="B8" s="208" t="s">
        <v>299</v>
      </c>
      <c r="C8" s="216">
        <v>73695</v>
      </c>
    </row>
    <row r="9" spans="1:3" ht="25.5">
      <c r="A9" s="201">
        <v>30131807</v>
      </c>
      <c r="B9" s="208" t="s">
        <v>882</v>
      </c>
      <c r="C9" s="216">
        <v>0</v>
      </c>
    </row>
    <row r="10" spans="1:3">
      <c r="A10" s="201">
        <v>30130485</v>
      </c>
      <c r="B10" s="217" t="s">
        <v>883</v>
      </c>
      <c r="C10" s="216">
        <v>423159</v>
      </c>
    </row>
    <row r="11" spans="1:3">
      <c r="A11" s="202">
        <v>30086926</v>
      </c>
      <c r="B11" s="208" t="s">
        <v>884</v>
      </c>
      <c r="C11" s="216">
        <v>385755</v>
      </c>
    </row>
    <row r="12" spans="1:3" ht="25.5">
      <c r="A12" s="202">
        <v>30097621</v>
      </c>
      <c r="B12" s="208" t="s">
        <v>885</v>
      </c>
      <c r="C12" s="216">
        <v>15120</v>
      </c>
    </row>
    <row r="13" spans="1:3">
      <c r="A13" s="202">
        <v>30100126</v>
      </c>
      <c r="B13" s="208" t="s">
        <v>886</v>
      </c>
      <c r="C13" s="216">
        <v>86811</v>
      </c>
    </row>
    <row r="14" spans="1:3">
      <c r="A14" s="202">
        <v>30001032</v>
      </c>
      <c r="B14" s="208" t="s">
        <v>274</v>
      </c>
      <c r="C14" s="216">
        <v>109325</v>
      </c>
    </row>
    <row r="15" spans="1:3">
      <c r="A15" s="202">
        <v>30066098</v>
      </c>
      <c r="B15" s="208" t="s">
        <v>887</v>
      </c>
      <c r="C15" s="216">
        <v>144490</v>
      </c>
    </row>
    <row r="16" spans="1:3">
      <c r="A16" s="202">
        <v>30045318</v>
      </c>
      <c r="B16" s="208" t="s">
        <v>888</v>
      </c>
      <c r="C16" s="216">
        <v>132666</v>
      </c>
    </row>
    <row r="17" spans="1:3">
      <c r="A17" s="211">
        <v>30293822</v>
      </c>
      <c r="B17" s="218" t="s">
        <v>889</v>
      </c>
      <c r="C17" s="216">
        <v>7556</v>
      </c>
    </row>
    <row r="18" spans="1:3">
      <c r="A18" s="211">
        <v>30044384</v>
      </c>
      <c r="B18" s="219" t="s">
        <v>890</v>
      </c>
      <c r="C18" s="216">
        <v>107305</v>
      </c>
    </row>
    <row r="19" spans="1:3">
      <c r="A19" s="202">
        <v>30076274</v>
      </c>
      <c r="B19" s="208" t="s">
        <v>891</v>
      </c>
      <c r="C19" s="216">
        <v>228421</v>
      </c>
    </row>
    <row r="20" spans="1:3">
      <c r="A20" s="202">
        <v>30077750</v>
      </c>
      <c r="B20" s="208" t="s">
        <v>892</v>
      </c>
      <c r="C20" s="216">
        <v>23776</v>
      </c>
    </row>
    <row r="21" spans="1:3" ht="26.25">
      <c r="A21" s="202">
        <v>30465392</v>
      </c>
      <c r="B21" s="204" t="s">
        <v>893</v>
      </c>
      <c r="C21" s="216">
        <v>0</v>
      </c>
    </row>
    <row r="22" spans="1:3">
      <c r="A22" s="202">
        <v>30109140</v>
      </c>
      <c r="B22" s="208" t="s">
        <v>170</v>
      </c>
      <c r="C22" s="216">
        <v>392218</v>
      </c>
    </row>
    <row r="23" spans="1:3" ht="26.25">
      <c r="A23" s="203">
        <v>30481995</v>
      </c>
      <c r="B23" s="204" t="s">
        <v>894</v>
      </c>
      <c r="C23" s="216">
        <v>19090</v>
      </c>
    </row>
    <row r="24" spans="1:3" ht="26.25">
      <c r="A24" s="203">
        <v>30131804</v>
      </c>
      <c r="B24" s="204" t="s">
        <v>230</v>
      </c>
      <c r="C24" s="216">
        <v>377269</v>
      </c>
    </row>
    <row r="25" spans="1:3" ht="26.25">
      <c r="A25" s="203">
        <v>30108069</v>
      </c>
      <c r="B25" s="204" t="s">
        <v>444</v>
      </c>
      <c r="C25" s="216">
        <v>470789</v>
      </c>
    </row>
    <row r="26" spans="1:3">
      <c r="A26" s="203">
        <v>30100263</v>
      </c>
      <c r="B26" s="204" t="s">
        <v>895</v>
      </c>
      <c r="C26" s="216">
        <v>33000</v>
      </c>
    </row>
    <row r="27" spans="1:3" ht="26.25">
      <c r="A27" s="203">
        <v>30109787</v>
      </c>
      <c r="B27" s="204" t="s">
        <v>280</v>
      </c>
      <c r="C27" s="216">
        <v>40912</v>
      </c>
    </row>
    <row r="28" spans="1:3">
      <c r="A28" s="203">
        <v>30086690</v>
      </c>
      <c r="B28" s="204" t="s">
        <v>896</v>
      </c>
      <c r="C28" s="216">
        <v>904034</v>
      </c>
    </row>
    <row r="29" spans="1:3">
      <c r="A29" s="203">
        <v>30486418</v>
      </c>
      <c r="B29" s="204" t="s">
        <v>897</v>
      </c>
      <c r="C29" s="216">
        <v>109125</v>
      </c>
    </row>
    <row r="30" spans="1:3">
      <c r="A30" s="203">
        <v>30064663</v>
      </c>
      <c r="B30" s="204" t="s">
        <v>898</v>
      </c>
      <c r="C30" s="216">
        <v>0</v>
      </c>
    </row>
    <row r="31" spans="1:3">
      <c r="A31" s="203">
        <v>30447522</v>
      </c>
      <c r="B31" s="220" t="s">
        <v>899</v>
      </c>
      <c r="C31" s="216">
        <v>879800</v>
      </c>
    </row>
    <row r="32" spans="1:3">
      <c r="A32" s="203">
        <v>30100599</v>
      </c>
      <c r="B32" s="204" t="s">
        <v>288</v>
      </c>
      <c r="C32" s="216">
        <v>102301</v>
      </c>
    </row>
    <row r="33" spans="1:3" ht="26.25">
      <c r="A33" s="203">
        <v>30483251</v>
      </c>
      <c r="B33" s="204" t="s">
        <v>900</v>
      </c>
      <c r="C33" s="216">
        <v>27179</v>
      </c>
    </row>
    <row r="34" spans="1:3">
      <c r="A34" s="203">
        <v>30124186</v>
      </c>
      <c r="B34" s="220" t="s">
        <v>901</v>
      </c>
      <c r="C34" s="216">
        <v>118067</v>
      </c>
    </row>
    <row r="35" spans="1:3">
      <c r="A35" s="203">
        <v>30484216</v>
      </c>
      <c r="B35" s="204" t="s">
        <v>902</v>
      </c>
      <c r="C35" s="216">
        <v>343304</v>
      </c>
    </row>
    <row r="36" spans="1:3">
      <c r="A36" s="203">
        <v>30124513</v>
      </c>
      <c r="B36" s="221" t="s">
        <v>903</v>
      </c>
      <c r="C36" s="216">
        <v>284619</v>
      </c>
    </row>
    <row r="37" spans="1:3" ht="26.25">
      <c r="A37" s="203">
        <v>40000508</v>
      </c>
      <c r="B37" s="204" t="s">
        <v>246</v>
      </c>
      <c r="C37" s="216">
        <v>45000</v>
      </c>
    </row>
    <row r="38" spans="1:3" ht="26.25">
      <c r="A38" s="203">
        <v>40005349</v>
      </c>
      <c r="B38" s="204" t="s">
        <v>904</v>
      </c>
      <c r="C38" s="216">
        <v>0</v>
      </c>
    </row>
    <row r="39" spans="1:3" ht="26.25">
      <c r="A39" s="203">
        <v>40000697</v>
      </c>
      <c r="B39" s="204" t="s">
        <v>905</v>
      </c>
      <c r="C39" s="216">
        <v>11000</v>
      </c>
    </row>
    <row r="40" spans="1:3" ht="26.25">
      <c r="A40" s="203">
        <v>30393924</v>
      </c>
      <c r="B40" s="220" t="s">
        <v>266</v>
      </c>
      <c r="C40" s="216">
        <v>293558</v>
      </c>
    </row>
    <row r="41" spans="1:3" ht="26.25">
      <c r="A41" s="203">
        <v>30431172</v>
      </c>
      <c r="B41" s="204" t="s">
        <v>906</v>
      </c>
      <c r="C41" s="216">
        <v>22440</v>
      </c>
    </row>
    <row r="42" spans="1:3">
      <c r="A42" s="203">
        <v>30109834</v>
      </c>
      <c r="B42" s="220" t="s">
        <v>282</v>
      </c>
      <c r="C42" s="216">
        <v>668415</v>
      </c>
    </row>
    <row r="43" spans="1:3" ht="26.25">
      <c r="A43" s="203">
        <v>30484211</v>
      </c>
      <c r="B43" s="204" t="s">
        <v>276</v>
      </c>
      <c r="C43" s="216">
        <v>220000</v>
      </c>
    </row>
    <row r="44" spans="1:3">
      <c r="A44" s="205">
        <v>30150673</v>
      </c>
      <c r="B44" s="209" t="s">
        <v>907</v>
      </c>
      <c r="C44" s="216">
        <v>173461</v>
      </c>
    </row>
    <row r="45" spans="1:3">
      <c r="A45" s="211">
        <v>30085388</v>
      </c>
      <c r="B45" s="222" t="s">
        <v>908</v>
      </c>
      <c r="C45" s="216">
        <v>331249</v>
      </c>
    </row>
    <row r="46" spans="1:3" ht="25.5">
      <c r="A46" s="211">
        <v>30109832</v>
      </c>
      <c r="B46" s="209" t="s">
        <v>909</v>
      </c>
      <c r="C46" s="216">
        <v>133844</v>
      </c>
    </row>
    <row r="47" spans="1:3" ht="25.5">
      <c r="A47" s="211">
        <v>30477535</v>
      </c>
      <c r="B47" s="222" t="s">
        <v>910</v>
      </c>
      <c r="C47" s="216">
        <v>50173</v>
      </c>
    </row>
    <row r="48" spans="1:3">
      <c r="A48" s="211">
        <v>30484182</v>
      </c>
      <c r="B48" s="209" t="s">
        <v>182</v>
      </c>
      <c r="C48" s="216">
        <v>40049</v>
      </c>
    </row>
    <row r="49" spans="1:3" ht="26.25">
      <c r="A49" s="203">
        <v>30485976</v>
      </c>
      <c r="B49" s="204" t="s">
        <v>911</v>
      </c>
      <c r="C49" s="216">
        <v>167005</v>
      </c>
    </row>
    <row r="50" spans="1:3">
      <c r="A50" s="203">
        <v>40003818</v>
      </c>
      <c r="B50" s="204" t="s">
        <v>912</v>
      </c>
      <c r="C50" s="216">
        <v>29725</v>
      </c>
    </row>
    <row r="51" spans="1:3">
      <c r="A51" s="203">
        <v>30037147</v>
      </c>
      <c r="B51" s="204" t="s">
        <v>913</v>
      </c>
      <c r="C51" s="216">
        <v>0</v>
      </c>
    </row>
    <row r="52" spans="1:3">
      <c r="A52" s="203">
        <v>40003225</v>
      </c>
      <c r="B52" s="204" t="s">
        <v>914</v>
      </c>
      <c r="C52" s="216">
        <v>8000</v>
      </c>
    </row>
    <row r="53" spans="1:3">
      <c r="A53" s="203">
        <v>30134340</v>
      </c>
      <c r="B53" s="204" t="s">
        <v>915</v>
      </c>
      <c r="C53" s="216">
        <v>47296</v>
      </c>
    </row>
    <row r="54" spans="1:3" ht="26.25">
      <c r="A54" s="203">
        <v>30457897</v>
      </c>
      <c r="B54" s="204" t="s">
        <v>916</v>
      </c>
      <c r="C54" s="216">
        <v>133952</v>
      </c>
    </row>
    <row r="55" spans="1:3">
      <c r="A55" s="203">
        <v>30150676</v>
      </c>
      <c r="B55" s="220" t="s">
        <v>917</v>
      </c>
      <c r="C55" s="216">
        <v>1500</v>
      </c>
    </row>
    <row r="56" spans="1:3">
      <c r="A56" s="203">
        <v>30473496</v>
      </c>
      <c r="B56" s="204" t="s">
        <v>918</v>
      </c>
      <c r="C56" s="216">
        <v>15000</v>
      </c>
    </row>
    <row r="57" spans="1:3" ht="26.25">
      <c r="A57" s="203">
        <v>30123628</v>
      </c>
      <c r="B57" s="204" t="s">
        <v>919</v>
      </c>
      <c r="C57" s="216">
        <v>104217</v>
      </c>
    </row>
    <row r="58" spans="1:3" ht="26.25">
      <c r="A58" s="203">
        <v>30124440</v>
      </c>
      <c r="B58" s="204" t="s">
        <v>920</v>
      </c>
      <c r="C58" s="216">
        <v>60640</v>
      </c>
    </row>
    <row r="59" spans="1:3">
      <c r="A59" s="203">
        <v>30147622</v>
      </c>
      <c r="B59" s="220" t="s">
        <v>921</v>
      </c>
      <c r="C59" s="216">
        <v>47000</v>
      </c>
    </row>
    <row r="60" spans="1:3">
      <c r="A60" s="203">
        <v>30460171</v>
      </c>
      <c r="B60" s="204" t="s">
        <v>290</v>
      </c>
      <c r="C60" s="216">
        <v>344917</v>
      </c>
    </row>
    <row r="61" spans="1:3" ht="26.25">
      <c r="A61" s="203">
        <v>40006352</v>
      </c>
      <c r="B61" s="204" t="s">
        <v>922</v>
      </c>
      <c r="C61" s="216">
        <v>91102</v>
      </c>
    </row>
    <row r="62" spans="1:3">
      <c r="A62" s="203">
        <v>30149176</v>
      </c>
      <c r="B62" s="204" t="s">
        <v>297</v>
      </c>
      <c r="C62" s="216">
        <v>1320490</v>
      </c>
    </row>
    <row r="63" spans="1:3" ht="26.25">
      <c r="A63" s="203">
        <v>40003078</v>
      </c>
      <c r="B63" s="204" t="s">
        <v>923</v>
      </c>
      <c r="C63" s="216">
        <v>28000</v>
      </c>
    </row>
    <row r="64" spans="1:3">
      <c r="A64" s="203">
        <v>30483947</v>
      </c>
      <c r="B64" s="204" t="s">
        <v>924</v>
      </c>
      <c r="C64" s="216">
        <v>0</v>
      </c>
    </row>
    <row r="65" spans="1:3" ht="25.5">
      <c r="A65" s="212">
        <v>30139872</v>
      </c>
      <c r="B65" s="223" t="s">
        <v>925</v>
      </c>
      <c r="C65" s="216">
        <v>1450</v>
      </c>
    </row>
    <row r="66" spans="1:3" ht="25.5">
      <c r="A66" s="212">
        <v>30139823</v>
      </c>
      <c r="B66" s="223" t="s">
        <v>926</v>
      </c>
      <c r="C66" s="216">
        <v>1500</v>
      </c>
    </row>
    <row r="67" spans="1:3" ht="25.5">
      <c r="A67" s="212">
        <v>30275183</v>
      </c>
      <c r="B67" s="223" t="s">
        <v>231</v>
      </c>
      <c r="C67" s="216">
        <v>10493</v>
      </c>
    </row>
    <row r="68" spans="1:3">
      <c r="A68" s="212">
        <v>30479844</v>
      </c>
      <c r="B68" s="223" t="s">
        <v>927</v>
      </c>
      <c r="C68" s="216">
        <v>1500</v>
      </c>
    </row>
    <row r="69" spans="1:3" ht="26.25">
      <c r="A69" s="203">
        <v>30484185</v>
      </c>
      <c r="B69" s="204" t="s">
        <v>928</v>
      </c>
      <c r="C69" s="216">
        <v>12976</v>
      </c>
    </row>
    <row r="70" spans="1:3" ht="26.25">
      <c r="A70" s="206">
        <v>30484187</v>
      </c>
      <c r="B70" s="204" t="s">
        <v>929</v>
      </c>
      <c r="C70" s="216">
        <v>9594</v>
      </c>
    </row>
    <row r="71" spans="1:3" ht="26.25">
      <c r="A71" s="203">
        <v>30484184</v>
      </c>
      <c r="B71" s="204" t="s">
        <v>930</v>
      </c>
      <c r="C71" s="216">
        <v>8914</v>
      </c>
    </row>
    <row r="72" spans="1:3" ht="26.25">
      <c r="A72" s="203">
        <v>30484157</v>
      </c>
      <c r="B72" s="204" t="s">
        <v>931</v>
      </c>
      <c r="C72" s="216">
        <v>0</v>
      </c>
    </row>
    <row r="73" spans="1:3" ht="26.25">
      <c r="A73" s="203">
        <v>30409422</v>
      </c>
      <c r="B73" s="204" t="s">
        <v>932</v>
      </c>
      <c r="C73" s="216">
        <v>0</v>
      </c>
    </row>
    <row r="74" spans="1:3" ht="26.25">
      <c r="A74" s="203">
        <v>40003156</v>
      </c>
      <c r="B74" s="204" t="s">
        <v>933</v>
      </c>
      <c r="C74" s="216">
        <v>68276</v>
      </c>
    </row>
    <row r="75" spans="1:3">
      <c r="A75" s="203">
        <v>40010119</v>
      </c>
      <c r="B75" s="204" t="s">
        <v>934</v>
      </c>
      <c r="C75" s="216">
        <v>0</v>
      </c>
    </row>
    <row r="76" spans="1:3">
      <c r="A76" s="203">
        <v>30369072</v>
      </c>
      <c r="B76" s="204" t="s">
        <v>716</v>
      </c>
      <c r="C76" s="216">
        <v>15650</v>
      </c>
    </row>
    <row r="77" spans="1:3">
      <c r="A77" s="203">
        <v>30176022</v>
      </c>
      <c r="B77" s="204" t="s">
        <v>295</v>
      </c>
      <c r="C77" s="216">
        <v>280048</v>
      </c>
    </row>
    <row r="78" spans="1:3">
      <c r="A78" s="203">
        <v>40011860</v>
      </c>
      <c r="B78" s="204" t="s">
        <v>935</v>
      </c>
      <c r="C78" s="216">
        <v>400847</v>
      </c>
    </row>
    <row r="79" spans="1:3" ht="26.25">
      <c r="A79" s="203">
        <v>40013536</v>
      </c>
      <c r="B79" s="204" t="s">
        <v>200</v>
      </c>
      <c r="C79" s="216">
        <v>510000</v>
      </c>
    </row>
    <row r="80" spans="1:3" ht="26.25">
      <c r="A80" s="203">
        <v>30070093</v>
      </c>
      <c r="B80" s="224" t="s">
        <v>936</v>
      </c>
      <c r="C80" s="216">
        <v>393874</v>
      </c>
    </row>
    <row r="81" spans="1:3">
      <c r="A81" s="203">
        <v>40016415</v>
      </c>
      <c r="B81" s="224" t="s">
        <v>292</v>
      </c>
      <c r="C81" s="216">
        <v>416681</v>
      </c>
    </row>
    <row r="82" spans="1:3" ht="26.25">
      <c r="A82" s="203">
        <v>40015360</v>
      </c>
      <c r="B82" s="224" t="s">
        <v>289</v>
      </c>
      <c r="C82" s="216">
        <v>344550</v>
      </c>
    </row>
    <row r="83" spans="1:3">
      <c r="A83" s="203">
        <v>30484167</v>
      </c>
      <c r="B83" s="224" t="s">
        <v>937</v>
      </c>
      <c r="C83" s="216">
        <v>275961</v>
      </c>
    </row>
    <row r="84" spans="1:3" ht="26.25">
      <c r="A84" s="203">
        <v>40012802</v>
      </c>
      <c r="B84" s="224" t="s">
        <v>188</v>
      </c>
      <c r="C84" s="216">
        <v>840000</v>
      </c>
    </row>
    <row r="85" spans="1:3" ht="26.25">
      <c r="A85" s="203">
        <v>40014111</v>
      </c>
      <c r="B85" s="224" t="s">
        <v>717</v>
      </c>
      <c r="C85" s="216">
        <v>24335</v>
      </c>
    </row>
    <row r="86" spans="1:3" ht="26.25">
      <c r="A86" s="203">
        <v>40009212</v>
      </c>
      <c r="B86" s="224" t="s">
        <v>938</v>
      </c>
      <c r="C86" s="216">
        <v>2142781</v>
      </c>
    </row>
    <row r="87" spans="1:3" ht="26.25">
      <c r="A87" s="203">
        <v>40016397</v>
      </c>
      <c r="B87" s="224" t="s">
        <v>446</v>
      </c>
      <c r="C87" s="216">
        <v>49980</v>
      </c>
    </row>
    <row r="88" spans="1:3" ht="26.25">
      <c r="A88" s="203">
        <v>40016396</v>
      </c>
      <c r="B88" s="224" t="s">
        <v>939</v>
      </c>
      <c r="C88" s="216">
        <v>63000</v>
      </c>
    </row>
    <row r="89" spans="1:3">
      <c r="A89" s="203">
        <v>40018067</v>
      </c>
      <c r="B89" s="224" t="s">
        <v>940</v>
      </c>
      <c r="C89" s="216">
        <v>428</v>
      </c>
    </row>
    <row r="90" spans="1:3">
      <c r="A90" s="212">
        <v>20169732</v>
      </c>
      <c r="B90" s="223" t="s">
        <v>941</v>
      </c>
      <c r="C90" s="216">
        <v>115570</v>
      </c>
    </row>
    <row r="91" spans="1:3">
      <c r="A91" s="203">
        <v>30010979</v>
      </c>
      <c r="B91" s="204" t="s">
        <v>942</v>
      </c>
      <c r="C91" s="216">
        <v>1</v>
      </c>
    </row>
    <row r="92" spans="1:3" ht="26.25">
      <c r="A92" s="213">
        <v>30100596</v>
      </c>
      <c r="B92" s="225" t="s">
        <v>943</v>
      </c>
      <c r="C92" s="216">
        <v>1</v>
      </c>
    </row>
    <row r="93" spans="1:3">
      <c r="A93" s="207">
        <v>300646630</v>
      </c>
      <c r="B93" s="226" t="s">
        <v>944</v>
      </c>
      <c r="C93" s="216">
        <v>478469</v>
      </c>
    </row>
    <row r="94" spans="1:3">
      <c r="A94" s="202">
        <v>30091815</v>
      </c>
      <c r="B94" s="204" t="s">
        <v>945</v>
      </c>
      <c r="C94" s="216">
        <v>132000</v>
      </c>
    </row>
    <row r="95" spans="1:3">
      <c r="A95" s="203">
        <v>30432172</v>
      </c>
      <c r="B95" s="204" t="s">
        <v>946</v>
      </c>
      <c r="C95" s="216">
        <v>0</v>
      </c>
    </row>
    <row r="96" spans="1:3">
      <c r="A96" s="202">
        <v>40012771</v>
      </c>
      <c r="B96" s="204" t="s">
        <v>947</v>
      </c>
      <c r="C96" s="216">
        <v>0</v>
      </c>
    </row>
    <row r="97" spans="1:3">
      <c r="A97" s="202">
        <v>40009552</v>
      </c>
      <c r="B97" s="204" t="s">
        <v>304</v>
      </c>
      <c r="C97" s="216">
        <v>397260</v>
      </c>
    </row>
    <row r="98" spans="1:3" ht="26.25">
      <c r="A98" s="202">
        <v>40012018</v>
      </c>
      <c r="B98" s="204" t="s">
        <v>948</v>
      </c>
      <c r="C98" s="216">
        <v>250000</v>
      </c>
    </row>
    <row r="99" spans="1:3" ht="26.25">
      <c r="A99" s="202">
        <v>30484186</v>
      </c>
      <c r="B99" s="204" t="s">
        <v>949</v>
      </c>
      <c r="C99" s="216">
        <v>21000</v>
      </c>
    </row>
    <row r="100" spans="1:3">
      <c r="A100" s="203">
        <v>40013598</v>
      </c>
      <c r="B100" s="224" t="s">
        <v>950</v>
      </c>
      <c r="C100" s="216">
        <v>273478</v>
      </c>
    </row>
    <row r="101" spans="1:3">
      <c r="A101" s="202">
        <v>40009344</v>
      </c>
      <c r="B101" s="208" t="s">
        <v>951</v>
      </c>
      <c r="C101" s="216">
        <v>436646</v>
      </c>
    </row>
    <row r="102" spans="1:3">
      <c r="A102" s="202">
        <v>40013615</v>
      </c>
      <c r="B102" s="208" t="s">
        <v>952</v>
      </c>
      <c r="C102" s="216">
        <v>0</v>
      </c>
    </row>
    <row r="103" spans="1:3">
      <c r="A103" s="202">
        <v>40006217</v>
      </c>
      <c r="B103" s="208" t="s">
        <v>175</v>
      </c>
      <c r="C103" s="216">
        <v>174792</v>
      </c>
    </row>
    <row r="104" spans="1:3" ht="26.25">
      <c r="A104" s="203">
        <v>30439686</v>
      </c>
      <c r="B104" s="204" t="s">
        <v>953</v>
      </c>
      <c r="C104" s="216">
        <v>390000</v>
      </c>
    </row>
    <row r="105" spans="1:3" ht="25.5">
      <c r="A105" s="210">
        <v>30064704</v>
      </c>
      <c r="B105" s="217" t="s">
        <v>954</v>
      </c>
      <c r="C105" s="216">
        <v>65238</v>
      </c>
    </row>
    <row r="106" spans="1:3">
      <c r="A106" s="203">
        <v>40008745</v>
      </c>
      <c r="B106" s="224" t="s">
        <v>955</v>
      </c>
      <c r="C106" s="216">
        <v>0</v>
      </c>
    </row>
    <row r="107" spans="1:3">
      <c r="A107" s="203">
        <v>30093561</v>
      </c>
      <c r="B107" s="204" t="s">
        <v>956</v>
      </c>
      <c r="C107" s="216">
        <v>832000</v>
      </c>
    </row>
    <row r="108" spans="1:3">
      <c r="A108" s="203">
        <v>30007043</v>
      </c>
      <c r="B108" s="224" t="s">
        <v>957</v>
      </c>
      <c r="C108" s="216">
        <v>171000</v>
      </c>
    </row>
    <row r="109" spans="1:3" ht="26.25">
      <c r="A109" s="203">
        <v>40004196</v>
      </c>
      <c r="B109" s="204" t="s">
        <v>958</v>
      </c>
      <c r="C109" s="216">
        <v>310565</v>
      </c>
    </row>
    <row r="110" spans="1:3" ht="26.25">
      <c r="A110" s="203">
        <v>40004434</v>
      </c>
      <c r="B110" s="204" t="s">
        <v>959</v>
      </c>
      <c r="C110" s="216">
        <v>506371</v>
      </c>
    </row>
    <row r="111" spans="1:3">
      <c r="A111" s="203">
        <v>40009584</v>
      </c>
      <c r="B111" s="227" t="s">
        <v>960</v>
      </c>
      <c r="C111" s="216">
        <v>296149</v>
      </c>
    </row>
    <row r="112" spans="1:3">
      <c r="A112" s="202">
        <v>30140173</v>
      </c>
      <c r="B112" s="228" t="s">
        <v>961</v>
      </c>
      <c r="C112" s="216">
        <v>746598</v>
      </c>
    </row>
    <row r="113" spans="1:3">
      <c r="A113" s="202">
        <v>30001033</v>
      </c>
      <c r="B113" s="228" t="s">
        <v>962</v>
      </c>
      <c r="C113" s="216">
        <v>54696</v>
      </c>
    </row>
    <row r="114" spans="1:3">
      <c r="A114" s="202">
        <v>30072951</v>
      </c>
      <c r="B114" s="228" t="s">
        <v>963</v>
      </c>
      <c r="C114" s="216">
        <v>109011</v>
      </c>
    </row>
    <row r="115" spans="1:3">
      <c r="A115" s="203">
        <v>30082130</v>
      </c>
      <c r="B115" s="224" t="s">
        <v>964</v>
      </c>
      <c r="C115" s="216">
        <v>132000</v>
      </c>
    </row>
    <row r="116" spans="1:3">
      <c r="A116" s="203">
        <v>40012009</v>
      </c>
      <c r="B116" s="224" t="s">
        <v>965</v>
      </c>
      <c r="C116" s="216">
        <v>0</v>
      </c>
    </row>
    <row r="117" spans="1:3" ht="26.25">
      <c r="A117" s="203">
        <v>40009572</v>
      </c>
      <c r="B117" s="224" t="s">
        <v>966</v>
      </c>
      <c r="C117" s="216">
        <v>12811</v>
      </c>
    </row>
    <row r="118" spans="1:3" ht="22.5">
      <c r="A118" s="203">
        <v>40011210</v>
      </c>
      <c r="B118" s="229" t="s">
        <v>967</v>
      </c>
      <c r="C118" s="216">
        <v>0</v>
      </c>
    </row>
    <row r="119" spans="1:3" ht="22.5">
      <c r="A119" s="213">
        <v>30123699</v>
      </c>
      <c r="B119" s="230" t="s">
        <v>968</v>
      </c>
      <c r="C119" s="216">
        <v>22951</v>
      </c>
    </row>
    <row r="120" spans="1:3" ht="22.5">
      <c r="A120" s="203">
        <v>30084699</v>
      </c>
      <c r="B120" s="231" t="s">
        <v>969</v>
      </c>
      <c r="C120" s="216">
        <v>611242</v>
      </c>
    </row>
    <row r="121" spans="1:3">
      <c r="A121" s="203">
        <v>40016874</v>
      </c>
      <c r="B121" s="229" t="s">
        <v>262</v>
      </c>
      <c r="C121" s="216">
        <v>0</v>
      </c>
    </row>
    <row r="122" spans="1:3">
      <c r="A122" s="203">
        <v>40017175</v>
      </c>
      <c r="B122" s="229" t="s">
        <v>970</v>
      </c>
      <c r="C122" s="216">
        <v>0</v>
      </c>
    </row>
    <row r="123" spans="1:3" ht="22.5">
      <c r="A123" s="203">
        <v>40006165</v>
      </c>
      <c r="B123" s="229" t="s">
        <v>971</v>
      </c>
      <c r="C123" s="216">
        <v>897463</v>
      </c>
    </row>
    <row r="124" spans="1:3">
      <c r="A124" s="203">
        <v>30176672</v>
      </c>
      <c r="B124" s="229" t="s">
        <v>972</v>
      </c>
      <c r="C124" s="216">
        <v>0</v>
      </c>
    </row>
    <row r="125" spans="1:3" ht="22.5">
      <c r="A125" s="203">
        <v>30480263</v>
      </c>
      <c r="B125" s="229" t="s">
        <v>973</v>
      </c>
      <c r="C125" s="216">
        <v>0</v>
      </c>
    </row>
    <row r="126" spans="1:3" ht="26.25">
      <c r="A126" s="203">
        <v>40016385</v>
      </c>
      <c r="B126" s="224" t="s">
        <v>974</v>
      </c>
      <c r="C126" s="216">
        <v>0</v>
      </c>
    </row>
    <row r="127" spans="1:3">
      <c r="A127" s="203">
        <v>40012014</v>
      </c>
      <c r="B127" s="232" t="s">
        <v>975</v>
      </c>
      <c r="C127" s="216">
        <v>0</v>
      </c>
    </row>
    <row r="128" spans="1:3">
      <c r="A128" s="203">
        <v>30486611</v>
      </c>
      <c r="B128" s="224" t="s">
        <v>976</v>
      </c>
      <c r="C128" s="216">
        <v>0</v>
      </c>
    </row>
    <row r="129" spans="1:3">
      <c r="A129" s="203">
        <v>40006784</v>
      </c>
      <c r="B129" s="224" t="s">
        <v>172</v>
      </c>
      <c r="C129" s="216">
        <v>76190</v>
      </c>
    </row>
    <row r="130" spans="1:3" ht="26.25">
      <c r="A130" s="203">
        <v>30136164</v>
      </c>
      <c r="B130" s="204" t="s">
        <v>977</v>
      </c>
      <c r="C130" s="216">
        <v>0</v>
      </c>
    </row>
    <row r="131" spans="1:3">
      <c r="A131" s="210">
        <v>30065234</v>
      </c>
      <c r="B131" s="208" t="s">
        <v>978</v>
      </c>
      <c r="C131" s="216">
        <v>2000</v>
      </c>
    </row>
    <row r="132" spans="1:3" ht="25.5">
      <c r="A132" s="205">
        <v>30073874</v>
      </c>
      <c r="B132" s="209" t="s">
        <v>979</v>
      </c>
      <c r="C132" s="216">
        <v>842762</v>
      </c>
    </row>
    <row r="133" spans="1:3" ht="33">
      <c r="A133" s="205">
        <v>40009682</v>
      </c>
      <c r="B133" s="230" t="s">
        <v>980</v>
      </c>
      <c r="C133" s="216">
        <v>0</v>
      </c>
    </row>
    <row r="134" spans="1:3" ht="22.5">
      <c r="A134" s="205">
        <v>40000654</v>
      </c>
      <c r="B134" s="230" t="s">
        <v>981</v>
      </c>
      <c r="C134" s="216">
        <v>0</v>
      </c>
    </row>
    <row r="135" spans="1:3" ht="22.5">
      <c r="A135" s="205">
        <v>40016565</v>
      </c>
      <c r="B135" s="230" t="s">
        <v>982</v>
      </c>
      <c r="C135" s="216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234" t="s">
        <v>983</v>
      </c>
      <c r="B2" s="234"/>
      <c r="C2" s="234"/>
      <c r="D2" s="234" t="s">
        <v>984</v>
      </c>
      <c r="E2" s="234" t="s">
        <v>985</v>
      </c>
      <c r="F2" s="233" t="s">
        <v>79</v>
      </c>
      <c r="G2" s="233" t="s">
        <v>986</v>
      </c>
      <c r="H2" s="234" t="s">
        <v>987</v>
      </c>
      <c r="I2" s="233" t="s">
        <v>988</v>
      </c>
      <c r="J2" s="233" t="s">
        <v>989</v>
      </c>
      <c r="K2" s="233" t="s">
        <v>990</v>
      </c>
    </row>
    <row r="3" spans="1:11" ht="22.5">
      <c r="A3" s="238"/>
      <c r="B3" s="236" t="s">
        <v>24</v>
      </c>
      <c r="C3" s="237" t="s">
        <v>469</v>
      </c>
      <c r="D3" s="235" t="s">
        <v>991</v>
      </c>
      <c r="E3" s="239" t="s">
        <v>992</v>
      </c>
      <c r="F3" s="240" t="s">
        <v>103</v>
      </c>
      <c r="G3" s="240" t="s">
        <v>247</v>
      </c>
      <c r="H3" s="240" t="s">
        <v>335</v>
      </c>
      <c r="I3" s="241" t="s">
        <v>161</v>
      </c>
      <c r="J3" s="242">
        <v>2000000</v>
      </c>
      <c r="K3" s="242">
        <v>2000000</v>
      </c>
    </row>
    <row r="4" spans="1:11" ht="33.75">
      <c r="A4" s="238"/>
      <c r="B4" s="236" t="s">
        <v>26</v>
      </c>
      <c r="C4" s="237" t="s">
        <v>993</v>
      </c>
      <c r="D4" s="235" t="s">
        <v>991</v>
      </c>
      <c r="E4" s="239" t="s">
        <v>994</v>
      </c>
      <c r="F4" s="240" t="s">
        <v>103</v>
      </c>
      <c r="G4" s="240" t="s">
        <v>995</v>
      </c>
      <c r="H4" s="240" t="s">
        <v>996</v>
      </c>
      <c r="I4" s="241" t="s">
        <v>161</v>
      </c>
      <c r="J4" s="242">
        <v>791857.46499999997</v>
      </c>
      <c r="K4" s="242">
        <v>263953</v>
      </c>
    </row>
    <row r="5" spans="1:11" ht="22.5">
      <c r="A5" s="235">
        <v>40021790</v>
      </c>
      <c r="B5" s="236" t="s">
        <v>26</v>
      </c>
      <c r="C5" s="236" t="s">
        <v>997</v>
      </c>
      <c r="D5" s="235" t="s">
        <v>991</v>
      </c>
      <c r="E5" s="239" t="s">
        <v>998</v>
      </c>
      <c r="F5" s="240" t="s">
        <v>999</v>
      </c>
      <c r="G5" s="240" t="s">
        <v>219</v>
      </c>
      <c r="H5" s="240" t="s">
        <v>324</v>
      </c>
      <c r="I5" s="241" t="s">
        <v>325</v>
      </c>
      <c r="J5" s="242">
        <v>2401695</v>
      </c>
      <c r="K5" s="242">
        <v>160254</v>
      </c>
    </row>
    <row r="6" spans="1:11" ht="33.75">
      <c r="A6" s="243">
        <v>30100137</v>
      </c>
      <c r="B6" s="236" t="s">
        <v>26</v>
      </c>
      <c r="C6" s="236" t="s">
        <v>997</v>
      </c>
      <c r="D6" s="235" t="s">
        <v>991</v>
      </c>
      <c r="E6" s="239" t="s">
        <v>1000</v>
      </c>
      <c r="F6" s="240" t="s">
        <v>1001</v>
      </c>
      <c r="G6" s="244" t="s">
        <v>219</v>
      </c>
      <c r="H6" s="240" t="s">
        <v>279</v>
      </c>
      <c r="I6" s="241" t="s">
        <v>161</v>
      </c>
      <c r="J6" s="242">
        <v>8173158.3330000006</v>
      </c>
      <c r="K6" s="242">
        <v>812774</v>
      </c>
    </row>
    <row r="7" spans="1:11" ht="22.5">
      <c r="A7" s="243">
        <v>30073659</v>
      </c>
      <c r="B7" s="236" t="s">
        <v>26</v>
      </c>
      <c r="C7" s="236" t="s">
        <v>997</v>
      </c>
      <c r="D7" s="235" t="s">
        <v>991</v>
      </c>
      <c r="E7" s="239" t="s">
        <v>1002</v>
      </c>
      <c r="F7" s="240" t="s">
        <v>91</v>
      </c>
      <c r="G7" s="244" t="s">
        <v>219</v>
      </c>
      <c r="H7" s="240" t="s">
        <v>165</v>
      </c>
      <c r="I7" s="241" t="s">
        <v>161</v>
      </c>
      <c r="J7" s="242">
        <v>3529211.1189999999</v>
      </c>
      <c r="K7" s="242">
        <v>205452</v>
      </c>
    </row>
    <row r="8" spans="1:11" ht="22.5">
      <c r="A8" s="243">
        <v>30073803</v>
      </c>
      <c r="B8" s="236" t="s">
        <v>26</v>
      </c>
      <c r="C8" s="236" t="s">
        <v>997</v>
      </c>
      <c r="D8" s="235" t="s">
        <v>991</v>
      </c>
      <c r="E8" s="239" t="s">
        <v>326</v>
      </c>
      <c r="F8" s="240" t="s">
        <v>97</v>
      </c>
      <c r="G8" s="244" t="s">
        <v>219</v>
      </c>
      <c r="H8" s="240" t="s">
        <v>210</v>
      </c>
      <c r="I8" s="241" t="s">
        <v>161</v>
      </c>
      <c r="J8" s="242">
        <v>2869930.42</v>
      </c>
      <c r="K8" s="242">
        <v>276414</v>
      </c>
    </row>
    <row r="9" spans="1:11" ht="33.75">
      <c r="A9" s="243">
        <v>30079953</v>
      </c>
      <c r="B9" s="236" t="s">
        <v>26</v>
      </c>
      <c r="C9" s="236" t="s">
        <v>997</v>
      </c>
      <c r="D9" s="235" t="s">
        <v>991</v>
      </c>
      <c r="E9" s="239" t="s">
        <v>1003</v>
      </c>
      <c r="F9" s="240" t="s">
        <v>100</v>
      </c>
      <c r="G9" s="244" t="s">
        <v>219</v>
      </c>
      <c r="H9" s="240" t="s">
        <v>233</v>
      </c>
      <c r="I9" s="241" t="s">
        <v>161</v>
      </c>
      <c r="J9" s="242">
        <v>2503939</v>
      </c>
      <c r="K9" s="242">
        <v>56731</v>
      </c>
    </row>
    <row r="10" spans="1:11" ht="22.5">
      <c r="A10" s="243">
        <v>30124512</v>
      </c>
      <c r="B10" s="236" t="s">
        <v>26</v>
      </c>
      <c r="C10" s="236" t="s">
        <v>997</v>
      </c>
      <c r="D10" s="235" t="s">
        <v>991</v>
      </c>
      <c r="E10" s="239" t="s">
        <v>328</v>
      </c>
      <c r="F10" s="240" t="s">
        <v>91</v>
      </c>
      <c r="G10" s="244" t="s">
        <v>219</v>
      </c>
      <c r="H10" s="240" t="s">
        <v>165</v>
      </c>
      <c r="I10" s="241" t="s">
        <v>178</v>
      </c>
      <c r="J10" s="242">
        <v>2029585.5</v>
      </c>
      <c r="K10" s="242">
        <v>566560</v>
      </c>
    </row>
    <row r="11" spans="1:11" ht="33.75">
      <c r="A11" s="243">
        <v>30100128</v>
      </c>
      <c r="B11" s="236" t="s">
        <v>26</v>
      </c>
      <c r="C11" s="236" t="s">
        <v>997</v>
      </c>
      <c r="D11" s="235" t="s">
        <v>991</v>
      </c>
      <c r="E11" s="239" t="s">
        <v>320</v>
      </c>
      <c r="F11" s="240" t="s">
        <v>1001</v>
      </c>
      <c r="G11" s="244" t="s">
        <v>219</v>
      </c>
      <c r="H11" s="240" t="s">
        <v>279</v>
      </c>
      <c r="I11" s="241" t="s">
        <v>161</v>
      </c>
      <c r="J11" s="242">
        <v>3242241</v>
      </c>
      <c r="K11" s="242">
        <v>800000</v>
      </c>
    </row>
    <row r="12" spans="1:11" ht="22.5">
      <c r="A12" s="243">
        <v>30078379</v>
      </c>
      <c r="B12" s="236" t="s">
        <v>26</v>
      </c>
      <c r="C12" s="236" t="s">
        <v>997</v>
      </c>
      <c r="D12" s="235" t="s">
        <v>991</v>
      </c>
      <c r="E12" s="239" t="s">
        <v>1004</v>
      </c>
      <c r="F12" s="240" t="s">
        <v>86</v>
      </c>
      <c r="G12" s="244" t="s">
        <v>219</v>
      </c>
      <c r="H12" s="240" t="s">
        <v>229</v>
      </c>
      <c r="I12" s="241" t="s">
        <v>185</v>
      </c>
      <c r="J12" s="242">
        <v>4892297</v>
      </c>
      <c r="K12" s="242">
        <v>80000</v>
      </c>
    </row>
    <row r="13" spans="1:11" ht="33.75">
      <c r="A13" s="243">
        <v>30096195</v>
      </c>
      <c r="B13" s="236" t="s">
        <v>26</v>
      </c>
      <c r="C13" s="236" t="s">
        <v>997</v>
      </c>
      <c r="D13" s="235" t="s">
        <v>991</v>
      </c>
      <c r="E13" s="239" t="s">
        <v>1005</v>
      </c>
      <c r="F13" s="240" t="s">
        <v>84</v>
      </c>
      <c r="G13" s="244" t="s">
        <v>219</v>
      </c>
      <c r="H13" s="240" t="s">
        <v>184</v>
      </c>
      <c r="I13" s="241" t="s">
        <v>185</v>
      </c>
      <c r="J13" s="242">
        <v>2358659</v>
      </c>
      <c r="K13" s="242">
        <v>152677</v>
      </c>
    </row>
    <row r="14" spans="1:11" ht="22.5">
      <c r="A14" s="243">
        <v>30124552</v>
      </c>
      <c r="B14" s="236" t="s">
        <v>26</v>
      </c>
      <c r="C14" s="236" t="s">
        <v>997</v>
      </c>
      <c r="D14" s="235" t="s">
        <v>991</v>
      </c>
      <c r="E14" s="239" t="s">
        <v>322</v>
      </c>
      <c r="F14" s="240" t="s">
        <v>91</v>
      </c>
      <c r="G14" s="240" t="s">
        <v>219</v>
      </c>
      <c r="H14" s="240" t="s">
        <v>165</v>
      </c>
      <c r="I14" s="240" t="s">
        <v>161</v>
      </c>
      <c r="J14" s="242">
        <v>1381311.39</v>
      </c>
      <c r="K14" s="242">
        <v>800000</v>
      </c>
    </row>
    <row r="15" spans="1:11" ht="22.5">
      <c r="A15" s="243">
        <v>30100146</v>
      </c>
      <c r="B15" s="236" t="s">
        <v>26</v>
      </c>
      <c r="C15" s="236" t="s">
        <v>997</v>
      </c>
      <c r="D15" s="235" t="s">
        <v>991</v>
      </c>
      <c r="E15" s="239" t="s">
        <v>316</v>
      </c>
      <c r="F15" s="240" t="s">
        <v>87</v>
      </c>
      <c r="G15" s="244" t="s">
        <v>219</v>
      </c>
      <c r="H15" s="240" t="s">
        <v>253</v>
      </c>
      <c r="I15" s="240" t="s">
        <v>325</v>
      </c>
      <c r="J15" s="242">
        <v>2404905</v>
      </c>
      <c r="K15" s="242">
        <v>253950</v>
      </c>
    </row>
    <row r="16" spans="1:11" ht="22.5">
      <c r="A16" s="238"/>
      <c r="B16" s="236" t="s">
        <v>26</v>
      </c>
      <c r="C16" s="236" t="s">
        <v>742</v>
      </c>
      <c r="D16" s="235" t="s">
        <v>991</v>
      </c>
      <c r="E16" s="239" t="s">
        <v>743</v>
      </c>
      <c r="F16" s="240" t="s">
        <v>103</v>
      </c>
      <c r="G16" s="244" t="s">
        <v>245</v>
      </c>
      <c r="H16" s="240" t="s">
        <v>745</v>
      </c>
      <c r="I16" s="240" t="s">
        <v>161</v>
      </c>
      <c r="J16" s="242">
        <v>3500000</v>
      </c>
      <c r="K16" s="242">
        <v>3500000</v>
      </c>
    </row>
    <row r="17" spans="1:11" ht="22.5">
      <c r="A17" s="235">
        <v>40004931</v>
      </c>
      <c r="B17" s="236" t="s">
        <v>26</v>
      </c>
      <c r="C17" s="236" t="s">
        <v>1006</v>
      </c>
      <c r="D17" s="235" t="s">
        <v>1007</v>
      </c>
      <c r="E17" s="239" t="s">
        <v>1008</v>
      </c>
      <c r="F17" s="240" t="s">
        <v>103</v>
      </c>
      <c r="G17" s="244" t="s">
        <v>163</v>
      </c>
      <c r="H17" s="240" t="s">
        <v>427</v>
      </c>
      <c r="I17" s="240" t="s">
        <v>161</v>
      </c>
      <c r="J17" s="242">
        <v>566228</v>
      </c>
      <c r="K17" s="242">
        <v>41572</v>
      </c>
    </row>
    <row r="18" spans="1:11" ht="33.75">
      <c r="A18" s="235">
        <v>40008020</v>
      </c>
      <c r="B18" s="236" t="s">
        <v>26</v>
      </c>
      <c r="C18" s="236" t="s">
        <v>1009</v>
      </c>
      <c r="D18" s="235" t="s">
        <v>1007</v>
      </c>
      <c r="E18" s="239" t="s">
        <v>1010</v>
      </c>
      <c r="F18" s="240" t="s">
        <v>103</v>
      </c>
      <c r="G18" s="244" t="s">
        <v>219</v>
      </c>
      <c r="H18" s="240" t="s">
        <v>1011</v>
      </c>
      <c r="I18" s="240" t="s">
        <v>161</v>
      </c>
      <c r="J18" s="242">
        <v>4020000</v>
      </c>
      <c r="K18" s="242">
        <v>789061</v>
      </c>
    </row>
    <row r="19" spans="1:11" ht="22.5">
      <c r="A19" s="235">
        <v>40010437</v>
      </c>
      <c r="B19" s="236" t="s">
        <v>26</v>
      </c>
      <c r="C19" s="236" t="s">
        <v>1012</v>
      </c>
      <c r="D19" s="235" t="s">
        <v>1007</v>
      </c>
      <c r="E19" s="239" t="s">
        <v>1013</v>
      </c>
      <c r="F19" s="240" t="s">
        <v>103</v>
      </c>
      <c r="G19" s="244" t="s">
        <v>435</v>
      </c>
      <c r="H19" s="240" t="s">
        <v>738</v>
      </c>
      <c r="I19" s="240" t="s">
        <v>161</v>
      </c>
      <c r="J19" s="242">
        <v>2547662</v>
      </c>
      <c r="K19" s="242">
        <v>115487</v>
      </c>
    </row>
    <row r="20" spans="1:11" ht="22.5">
      <c r="A20" s="235">
        <v>40006127</v>
      </c>
      <c r="B20" s="236" t="s">
        <v>26</v>
      </c>
      <c r="C20" s="236" t="s">
        <v>1014</v>
      </c>
      <c r="D20" s="235" t="s">
        <v>1007</v>
      </c>
      <c r="E20" s="239" t="s">
        <v>1015</v>
      </c>
      <c r="F20" s="240" t="s">
        <v>103</v>
      </c>
      <c r="G20" s="244" t="s">
        <v>163</v>
      </c>
      <c r="H20" s="240" t="s">
        <v>376</v>
      </c>
      <c r="I20" s="240" t="s">
        <v>185</v>
      </c>
      <c r="J20" s="242">
        <v>940001</v>
      </c>
      <c r="K20" s="242">
        <v>131549</v>
      </c>
    </row>
    <row r="21" spans="1:11" ht="22.5">
      <c r="A21" s="235">
        <v>40019817</v>
      </c>
      <c r="B21" s="236" t="s">
        <v>26</v>
      </c>
      <c r="C21" s="236" t="s">
        <v>502</v>
      </c>
      <c r="D21" s="235" t="s">
        <v>1007</v>
      </c>
      <c r="E21" s="239" t="s">
        <v>390</v>
      </c>
      <c r="F21" s="240" t="s">
        <v>103</v>
      </c>
      <c r="G21" s="244" t="s">
        <v>163</v>
      </c>
      <c r="H21" s="240" t="s">
        <v>348</v>
      </c>
      <c r="I21" s="240" t="s">
        <v>161</v>
      </c>
      <c r="J21" s="242">
        <v>3240000</v>
      </c>
      <c r="K21" s="242">
        <v>1200000</v>
      </c>
    </row>
    <row r="22" spans="1:11" ht="33.75">
      <c r="A22" s="235">
        <v>40014432</v>
      </c>
      <c r="B22" s="236" t="s">
        <v>26</v>
      </c>
      <c r="C22" s="236" t="s">
        <v>520</v>
      </c>
      <c r="D22" s="235" t="s">
        <v>1007</v>
      </c>
      <c r="E22" s="239" t="s">
        <v>1016</v>
      </c>
      <c r="F22" s="240" t="s">
        <v>103</v>
      </c>
      <c r="G22" s="244" t="s">
        <v>173</v>
      </c>
      <c r="H22" s="240" t="s">
        <v>340</v>
      </c>
      <c r="I22" s="240" t="s">
        <v>161</v>
      </c>
      <c r="J22" s="242">
        <v>3488542</v>
      </c>
      <c r="K22" s="242">
        <v>535287</v>
      </c>
    </row>
    <row r="23" spans="1:11" ht="22.5">
      <c r="A23" s="235">
        <v>40024788</v>
      </c>
      <c r="B23" s="236" t="s">
        <v>26</v>
      </c>
      <c r="C23" s="236" t="s">
        <v>522</v>
      </c>
      <c r="D23" s="235" t="s">
        <v>1007</v>
      </c>
      <c r="E23" s="239" t="s">
        <v>1017</v>
      </c>
      <c r="F23" s="240" t="s">
        <v>103</v>
      </c>
      <c r="G23" s="244" t="s">
        <v>163</v>
      </c>
      <c r="H23" s="240" t="s">
        <v>395</v>
      </c>
      <c r="I23" s="240" t="s">
        <v>161</v>
      </c>
      <c r="J23" s="242">
        <v>2009200</v>
      </c>
      <c r="K23" s="242">
        <v>800000</v>
      </c>
    </row>
    <row r="24" spans="1:11" ht="22.5">
      <c r="A24" s="235">
        <v>40009309</v>
      </c>
      <c r="B24" s="236" t="s">
        <v>26</v>
      </c>
      <c r="C24" s="236" t="s">
        <v>524</v>
      </c>
      <c r="D24" s="235" t="s">
        <v>1007</v>
      </c>
      <c r="E24" s="239" t="s">
        <v>1018</v>
      </c>
      <c r="F24" s="240" t="s">
        <v>103</v>
      </c>
      <c r="G24" s="244" t="s">
        <v>371</v>
      </c>
      <c r="H24" s="240" t="s">
        <v>404</v>
      </c>
      <c r="I24" s="240" t="s">
        <v>325</v>
      </c>
      <c r="J24" s="242">
        <v>1000000</v>
      </c>
      <c r="K24" s="242">
        <v>500000</v>
      </c>
    </row>
    <row r="25" spans="1:11" ht="22.5">
      <c r="A25" s="235">
        <v>40024839</v>
      </c>
      <c r="B25" s="236" t="s">
        <v>26</v>
      </c>
      <c r="C25" s="236" t="s">
        <v>529</v>
      </c>
      <c r="D25" s="235" t="s">
        <v>1007</v>
      </c>
      <c r="E25" s="239" t="s">
        <v>1019</v>
      </c>
      <c r="F25" s="240" t="s">
        <v>103</v>
      </c>
      <c r="G25" s="244" t="s">
        <v>407</v>
      </c>
      <c r="H25" s="240" t="s">
        <v>399</v>
      </c>
      <c r="I25" s="240" t="s">
        <v>325</v>
      </c>
      <c r="J25" s="242">
        <v>349800</v>
      </c>
      <c r="K25" s="242">
        <v>250000</v>
      </c>
    </row>
    <row r="26" spans="1:11" ht="22.5">
      <c r="A26" s="235">
        <v>40000006</v>
      </c>
      <c r="B26" s="236" t="s">
        <v>26</v>
      </c>
      <c r="C26" s="236" t="s">
        <v>1020</v>
      </c>
      <c r="D26" s="235" t="s">
        <v>1007</v>
      </c>
      <c r="E26" s="239" t="s">
        <v>1021</v>
      </c>
      <c r="F26" s="240" t="s">
        <v>103</v>
      </c>
      <c r="G26" s="244" t="s">
        <v>371</v>
      </c>
      <c r="H26" s="240" t="s">
        <v>373</v>
      </c>
      <c r="I26" s="240" t="s">
        <v>161</v>
      </c>
      <c r="J26" s="242">
        <v>853400</v>
      </c>
      <c r="K26" s="242">
        <v>246093</v>
      </c>
    </row>
    <row r="27" spans="1:11" ht="45">
      <c r="A27" s="235">
        <v>30118718</v>
      </c>
      <c r="B27" s="236" t="s">
        <v>26</v>
      </c>
      <c r="C27" s="236" t="s">
        <v>1022</v>
      </c>
      <c r="D27" s="235" t="s">
        <v>1007</v>
      </c>
      <c r="E27" s="239" t="s">
        <v>368</v>
      </c>
      <c r="F27" s="240" t="s">
        <v>103</v>
      </c>
      <c r="G27" s="244" t="s">
        <v>163</v>
      </c>
      <c r="H27" s="240" t="s">
        <v>369</v>
      </c>
      <c r="I27" s="240" t="s">
        <v>161</v>
      </c>
      <c r="J27" s="242">
        <v>2371702</v>
      </c>
      <c r="K27" s="242">
        <v>889389</v>
      </c>
    </row>
    <row r="28" spans="1:11" ht="22.5">
      <c r="A28" s="235">
        <v>40010799</v>
      </c>
      <c r="B28" s="236" t="s">
        <v>26</v>
      </c>
      <c r="C28" s="236" t="s">
        <v>1023</v>
      </c>
      <c r="D28" s="235" t="s">
        <v>1007</v>
      </c>
      <c r="E28" s="239" t="s">
        <v>1024</v>
      </c>
      <c r="F28" s="240" t="s">
        <v>103</v>
      </c>
      <c r="G28" s="244" t="s">
        <v>163</v>
      </c>
      <c r="H28" s="240" t="s">
        <v>348</v>
      </c>
      <c r="I28" s="240" t="s">
        <v>161</v>
      </c>
      <c r="J28" s="242">
        <v>3000000</v>
      </c>
      <c r="K28" s="242">
        <v>191000</v>
      </c>
    </row>
    <row r="29" spans="1:11" ht="45">
      <c r="A29" s="235">
        <v>40010406</v>
      </c>
      <c r="B29" s="236" t="s">
        <v>26</v>
      </c>
      <c r="C29" s="236" t="s">
        <v>1025</v>
      </c>
      <c r="D29" s="235" t="s">
        <v>1007</v>
      </c>
      <c r="E29" s="239" t="s">
        <v>1026</v>
      </c>
      <c r="F29" s="240" t="s">
        <v>103</v>
      </c>
      <c r="G29" s="244" t="s">
        <v>310</v>
      </c>
      <c r="H29" s="240" t="s">
        <v>388</v>
      </c>
      <c r="I29" s="240" t="s">
        <v>161</v>
      </c>
      <c r="J29" s="242">
        <v>763622.88</v>
      </c>
      <c r="K29" s="242">
        <v>378297</v>
      </c>
    </row>
    <row r="30" spans="1:11" ht="22.5">
      <c r="A30" s="235">
        <v>40009228</v>
      </c>
      <c r="B30" s="236" t="s">
        <v>26</v>
      </c>
      <c r="C30" s="236" t="s">
        <v>494</v>
      </c>
      <c r="D30" s="235" t="s">
        <v>1007</v>
      </c>
      <c r="E30" s="239" t="s">
        <v>1027</v>
      </c>
      <c r="F30" s="240" t="s">
        <v>103</v>
      </c>
      <c r="G30" s="244" t="s">
        <v>163</v>
      </c>
      <c r="H30" s="240" t="s">
        <v>1028</v>
      </c>
      <c r="I30" s="240" t="s">
        <v>161</v>
      </c>
      <c r="J30" s="242">
        <v>1600001</v>
      </c>
      <c r="K30" s="242">
        <v>498822</v>
      </c>
    </row>
    <row r="31" spans="1:11" ht="22.5">
      <c r="A31" s="235">
        <v>40009951</v>
      </c>
      <c r="B31" s="236" t="s">
        <v>26</v>
      </c>
      <c r="C31" s="236" t="s">
        <v>497</v>
      </c>
      <c r="D31" s="235" t="s">
        <v>1007</v>
      </c>
      <c r="E31" s="239" t="s">
        <v>1029</v>
      </c>
      <c r="F31" s="240" t="s">
        <v>103</v>
      </c>
      <c r="G31" s="244" t="s">
        <v>163</v>
      </c>
      <c r="H31" s="240" t="s">
        <v>348</v>
      </c>
      <c r="I31" s="240" t="s">
        <v>161</v>
      </c>
      <c r="J31" s="242">
        <v>225719</v>
      </c>
      <c r="K31" s="242">
        <v>124013</v>
      </c>
    </row>
    <row r="32" spans="1:11" ht="22.5">
      <c r="A32" s="235">
        <v>40010558</v>
      </c>
      <c r="B32" s="236" t="s">
        <v>26</v>
      </c>
      <c r="C32" s="236" t="s">
        <v>507</v>
      </c>
      <c r="D32" s="235" t="s">
        <v>1007</v>
      </c>
      <c r="E32" s="239" t="s">
        <v>1030</v>
      </c>
      <c r="F32" s="240" t="s">
        <v>103</v>
      </c>
      <c r="G32" s="244" t="s">
        <v>163</v>
      </c>
      <c r="H32" s="240" t="s">
        <v>393</v>
      </c>
      <c r="I32" s="240" t="s">
        <v>287</v>
      </c>
      <c r="J32" s="242">
        <v>372780</v>
      </c>
      <c r="K32" s="242">
        <v>80000</v>
      </c>
    </row>
    <row r="33" spans="1:11" ht="22.5">
      <c r="A33" s="235">
        <v>40024825</v>
      </c>
      <c r="B33" s="236" t="s">
        <v>26</v>
      </c>
      <c r="C33" s="236" t="s">
        <v>509</v>
      </c>
      <c r="D33" s="235" t="s">
        <v>1007</v>
      </c>
      <c r="E33" s="239" t="s">
        <v>1031</v>
      </c>
      <c r="F33" s="240" t="s">
        <v>103</v>
      </c>
      <c r="G33" s="244" t="s">
        <v>163</v>
      </c>
      <c r="H33" s="240" t="s">
        <v>395</v>
      </c>
      <c r="I33" s="240" t="s">
        <v>161</v>
      </c>
      <c r="J33" s="242">
        <v>1267240</v>
      </c>
      <c r="K33" s="242">
        <v>636159</v>
      </c>
    </row>
    <row r="34" spans="1:11" ht="22.5">
      <c r="A34" s="235">
        <v>40014531</v>
      </c>
      <c r="B34" s="236" t="s">
        <v>26</v>
      </c>
      <c r="C34" s="236" t="s">
        <v>511</v>
      </c>
      <c r="D34" s="235" t="s">
        <v>1007</v>
      </c>
      <c r="E34" s="239" t="s">
        <v>1032</v>
      </c>
      <c r="F34" s="240" t="s">
        <v>103</v>
      </c>
      <c r="G34" s="244" t="s">
        <v>163</v>
      </c>
      <c r="H34" s="240" t="s">
        <v>397</v>
      </c>
      <c r="I34" s="240" t="s">
        <v>287</v>
      </c>
      <c r="J34" s="242">
        <v>300000</v>
      </c>
      <c r="K34" s="242">
        <v>150000</v>
      </c>
    </row>
    <row r="35" spans="1:11" ht="22.5">
      <c r="A35" s="235">
        <v>40014719</v>
      </c>
      <c r="B35" s="236" t="s">
        <v>26</v>
      </c>
      <c r="C35" s="236" t="s">
        <v>513</v>
      </c>
      <c r="D35" s="235" t="s">
        <v>1007</v>
      </c>
      <c r="E35" s="239" t="s">
        <v>1033</v>
      </c>
      <c r="F35" s="240" t="s">
        <v>103</v>
      </c>
      <c r="G35" s="244" t="s">
        <v>407</v>
      </c>
      <c r="H35" s="240" t="s">
        <v>399</v>
      </c>
      <c r="I35" s="240" t="s">
        <v>287</v>
      </c>
      <c r="J35" s="242">
        <v>400000</v>
      </c>
      <c r="K35" s="242">
        <v>255000</v>
      </c>
    </row>
    <row r="36" spans="1:11" ht="22.5">
      <c r="A36" s="235">
        <v>40014500</v>
      </c>
      <c r="B36" s="236" t="s">
        <v>26</v>
      </c>
      <c r="C36" s="236" t="s">
        <v>516</v>
      </c>
      <c r="D36" s="235" t="s">
        <v>1007</v>
      </c>
      <c r="E36" s="239" t="s">
        <v>1034</v>
      </c>
      <c r="F36" s="240" t="s">
        <v>103</v>
      </c>
      <c r="G36" s="244" t="s">
        <v>435</v>
      </c>
      <c r="H36" s="240" t="s">
        <v>1035</v>
      </c>
      <c r="I36" s="240" t="s">
        <v>325</v>
      </c>
      <c r="J36" s="242">
        <v>500000</v>
      </c>
      <c r="K36" s="242">
        <v>125000</v>
      </c>
    </row>
    <row r="37" spans="1:11" ht="22.5">
      <c r="A37" s="235">
        <v>40026857</v>
      </c>
      <c r="B37" s="236" t="s">
        <v>26</v>
      </c>
      <c r="C37" s="236" t="s">
        <v>518</v>
      </c>
      <c r="D37" s="235" t="s">
        <v>1007</v>
      </c>
      <c r="E37" s="239" t="s">
        <v>1036</v>
      </c>
      <c r="F37" s="240" t="s">
        <v>103</v>
      </c>
      <c r="G37" s="244" t="s">
        <v>163</v>
      </c>
      <c r="H37" s="240" t="s">
        <v>348</v>
      </c>
      <c r="I37" s="240" t="s">
        <v>325</v>
      </c>
      <c r="J37" s="242">
        <v>250000</v>
      </c>
      <c r="K37" s="242">
        <v>227000</v>
      </c>
    </row>
    <row r="38" spans="1:11" ht="22.5">
      <c r="A38" s="235">
        <v>30436632</v>
      </c>
      <c r="B38" s="236" t="s">
        <v>26</v>
      </c>
      <c r="C38" s="236" t="s">
        <v>1037</v>
      </c>
      <c r="D38" s="235" t="s">
        <v>1007</v>
      </c>
      <c r="E38" s="239" t="s">
        <v>1038</v>
      </c>
      <c r="F38" s="240" t="s">
        <v>103</v>
      </c>
      <c r="G38" s="244" t="s">
        <v>407</v>
      </c>
      <c r="H38" s="244" t="s">
        <v>1039</v>
      </c>
      <c r="I38" s="240" t="s">
        <v>161</v>
      </c>
      <c r="J38" s="242">
        <v>60000</v>
      </c>
      <c r="K38" s="242">
        <v>2129</v>
      </c>
    </row>
    <row r="39" spans="1:11" ht="22.5">
      <c r="A39" s="235">
        <v>40001628</v>
      </c>
      <c r="B39" s="236" t="s">
        <v>26</v>
      </c>
      <c r="C39" s="236" t="s">
        <v>1040</v>
      </c>
      <c r="D39" s="235" t="s">
        <v>1007</v>
      </c>
      <c r="E39" s="239" t="s">
        <v>1041</v>
      </c>
      <c r="F39" s="240" t="s">
        <v>103</v>
      </c>
      <c r="G39" s="244" t="s">
        <v>163</v>
      </c>
      <c r="H39" s="240" t="s">
        <v>348</v>
      </c>
      <c r="I39" s="240" t="s">
        <v>161</v>
      </c>
      <c r="J39" s="242">
        <v>600000</v>
      </c>
      <c r="K39" s="242">
        <v>1001</v>
      </c>
    </row>
    <row r="40" spans="1:11" ht="22.5">
      <c r="A40" s="235">
        <v>40014358</v>
      </c>
      <c r="B40" s="236" t="s">
        <v>26</v>
      </c>
      <c r="C40" s="236" t="s">
        <v>746</v>
      </c>
      <c r="D40" s="235" t="s">
        <v>1007</v>
      </c>
      <c r="E40" s="239" t="s">
        <v>747</v>
      </c>
      <c r="F40" s="240" t="s">
        <v>103</v>
      </c>
      <c r="G40" s="244" t="s">
        <v>407</v>
      </c>
      <c r="H40" s="240" t="s">
        <v>421</v>
      </c>
      <c r="I40" s="240" t="s">
        <v>161</v>
      </c>
      <c r="J40" s="242">
        <v>69526</v>
      </c>
      <c r="K40" s="242">
        <v>7001</v>
      </c>
    </row>
    <row r="41" spans="1:11" ht="22.5">
      <c r="A41" s="235">
        <v>40014269</v>
      </c>
      <c r="B41" s="236" t="s">
        <v>26</v>
      </c>
      <c r="C41" s="236" t="s">
        <v>1042</v>
      </c>
      <c r="D41" s="235" t="s">
        <v>1007</v>
      </c>
      <c r="E41" s="239" t="s">
        <v>377</v>
      </c>
      <c r="F41" s="240" t="s">
        <v>103</v>
      </c>
      <c r="G41" s="244" t="s">
        <v>219</v>
      </c>
      <c r="H41" s="240" t="s">
        <v>379</v>
      </c>
      <c r="I41" s="240" t="s">
        <v>161</v>
      </c>
      <c r="J41" s="242">
        <v>135000</v>
      </c>
      <c r="K41" s="242">
        <v>9100</v>
      </c>
    </row>
    <row r="42" spans="1:11" ht="45">
      <c r="A42" s="235">
        <v>40014467</v>
      </c>
      <c r="B42" s="236" t="s">
        <v>26</v>
      </c>
      <c r="C42" s="236" t="s">
        <v>1043</v>
      </c>
      <c r="D42" s="235" t="s">
        <v>1007</v>
      </c>
      <c r="E42" s="239" t="s">
        <v>1044</v>
      </c>
      <c r="F42" s="240" t="s">
        <v>103</v>
      </c>
      <c r="G42" s="244" t="s">
        <v>310</v>
      </c>
      <c r="H42" s="240" t="s">
        <v>379</v>
      </c>
      <c r="I42" s="240" t="s">
        <v>161</v>
      </c>
      <c r="J42" s="242">
        <v>118776</v>
      </c>
      <c r="K42" s="242">
        <v>20800</v>
      </c>
    </row>
    <row r="43" spans="1:11" ht="22.5">
      <c r="A43" s="235">
        <v>40014502</v>
      </c>
      <c r="B43" s="236" t="s">
        <v>26</v>
      </c>
      <c r="C43" s="236" t="s">
        <v>1045</v>
      </c>
      <c r="D43" s="235" t="s">
        <v>1007</v>
      </c>
      <c r="E43" s="239" t="s">
        <v>1046</v>
      </c>
      <c r="F43" s="240" t="s">
        <v>103</v>
      </c>
      <c r="G43" s="244" t="s">
        <v>219</v>
      </c>
      <c r="H43" s="240" t="s">
        <v>379</v>
      </c>
      <c r="I43" s="240" t="s">
        <v>161</v>
      </c>
      <c r="J43" s="242">
        <v>134985</v>
      </c>
      <c r="K43" s="242">
        <v>12810</v>
      </c>
    </row>
    <row r="44" spans="1:11" ht="22.5">
      <c r="A44" s="235">
        <v>40014503</v>
      </c>
      <c r="B44" s="236" t="s">
        <v>26</v>
      </c>
      <c r="C44" s="236" t="s">
        <v>1047</v>
      </c>
      <c r="D44" s="235" t="s">
        <v>1007</v>
      </c>
      <c r="E44" s="239" t="s">
        <v>1048</v>
      </c>
      <c r="F44" s="240" t="s">
        <v>103</v>
      </c>
      <c r="G44" s="244" t="s">
        <v>163</v>
      </c>
      <c r="H44" s="240" t="s">
        <v>379</v>
      </c>
      <c r="I44" s="240" t="s">
        <v>161</v>
      </c>
      <c r="J44" s="242">
        <v>106960</v>
      </c>
      <c r="K44" s="242">
        <v>17347</v>
      </c>
    </row>
    <row r="45" spans="1:11" ht="22.5">
      <c r="A45" s="235">
        <v>40029266</v>
      </c>
      <c r="B45" s="236" t="s">
        <v>26</v>
      </c>
      <c r="C45" s="236" t="s">
        <v>526</v>
      </c>
      <c r="D45" s="235" t="s">
        <v>1007</v>
      </c>
      <c r="E45" s="239" t="s">
        <v>405</v>
      </c>
      <c r="F45" s="240" t="s">
        <v>103</v>
      </c>
      <c r="G45" s="244" t="s">
        <v>163</v>
      </c>
      <c r="H45" s="240" t="s">
        <v>348</v>
      </c>
      <c r="I45" s="240" t="s">
        <v>325</v>
      </c>
      <c r="J45" s="242">
        <v>2800000</v>
      </c>
      <c r="K45" s="242">
        <v>900000</v>
      </c>
    </row>
    <row r="46" spans="1:11">
      <c r="A46" s="235" t="s">
        <v>245</v>
      </c>
      <c r="B46" s="236" t="s">
        <v>26</v>
      </c>
      <c r="C46" s="236"/>
      <c r="D46" s="235" t="s">
        <v>245</v>
      </c>
      <c r="E46" s="245" t="s">
        <v>1049</v>
      </c>
      <c r="F46" s="235" t="s">
        <v>103</v>
      </c>
      <c r="G46" s="246" t="s">
        <v>245</v>
      </c>
      <c r="H46" s="235" t="s">
        <v>245</v>
      </c>
      <c r="I46" s="235" t="s">
        <v>1050</v>
      </c>
      <c r="J46" s="242">
        <v>2791338</v>
      </c>
      <c r="K46" s="242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C4B4E-C4BB-4C8C-AB18-345980158AF4}">
  <ds:schemaRefs>
    <ds:schemaRef ds:uri="http://schemas.microsoft.com/office/2006/metadata/properties"/>
    <ds:schemaRef ds:uri="http://purl.org/dc/dcmitype/"/>
    <ds:schemaRef ds:uri="bbbc94a7-4c97-4545-81ad-31eaee27b446"/>
    <ds:schemaRef ds:uri="http://purl.org/dc/elements/1.1/"/>
    <ds:schemaRef ds:uri="1ea1518e-ef11-48d5-b358-c8520584f932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 RESUMEN</vt:lpstr>
      <vt:lpstr>2024 FNDR</vt:lpstr>
      <vt:lpstr>FRIL 2024</vt:lpstr>
      <vt:lpstr>Hoja1</vt:lpstr>
      <vt:lpstr>Hoja5</vt:lpstr>
      <vt:lpstr>'2024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cp:lastPrinted>2024-11-11T16:10:45Z</cp:lastPrinted>
  <dcterms:created xsi:type="dcterms:W3CDTF">2018-06-12T14:08:26Z</dcterms:created>
  <dcterms:modified xsi:type="dcterms:W3CDTF">2024-12-17T14:40:42Z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